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5" yWindow="3975" windowWidth="17370" windowHeight="5580" activeTab="0"/>
  </bookViews>
  <sheets>
    <sheet name="смета квартиры" sheetId="1" r:id="rId1"/>
    <sheet name="смета паркоместа" sheetId="2" r:id="rId2"/>
    <sheet name="ИТОГО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43,5
т.р./мес</t>
        </r>
      </text>
    </comment>
    <comment ref="C1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17,4т.р./мес</t>
        </r>
      </text>
    </comment>
    <comment ref="C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17,4
т.р./мес</t>
        </r>
      </text>
    </comment>
    <comment ref="C2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12,1
т.р./мес</t>
        </r>
      </text>
    </comment>
    <comment ref="C2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12,1
т.р./мес</t>
        </r>
      </text>
    </comment>
    <comment ref="C3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 договору тех. Обслуживания с "Рэйнбоу-Сервис" </t>
        </r>
      </text>
    </comment>
    <comment ref="C4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какой-либо рассчет на данный момент произвести невозможно</t>
        </r>
      </text>
    </comment>
    <comment ref="C6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40т.р./мес</t>
        </r>
      </text>
    </comment>
    <comment ref="C6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20т.р./мес</t>
        </r>
      </text>
    </comment>
    <comment ref="C7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20т.р./мес</t>
        </r>
      </text>
    </comment>
    <comment ref="C8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5т.р./мес</t>
        </r>
      </text>
    </comment>
    <comment ref="C8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согласно ст. 324 НК РФ отчисления в резервный фонд рассчитываются и утверждаются налогоплательщиком самостоятельно.</t>
        </r>
      </text>
    </comment>
    <comment ref="C9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равно сумме взносов членов ТСЖ</t>
        </r>
      </text>
    </comment>
    <comment ref="C1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34,8
т.р./мес</t>
        </r>
      </text>
    </comment>
    <comment ref="C1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26,1
т.р./мес</t>
        </r>
      </text>
    </comment>
    <comment ref="C4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из расчета 4 контейнера в день</t>
        </r>
      </text>
    </comment>
    <comment ref="C6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 дог. С "ГазСервис ТО" из расчета 170кв по 389 руб</t>
        </r>
      </text>
    </comment>
    <comment ref="C3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20т.р./мес</t>
        </r>
      </text>
    </comment>
    <comment ref="C4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охрана делится на дом и паркинг пропорционально площади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какой-либо рассчет на данный момент произвести невозможно</t>
        </r>
      </text>
    </comment>
    <comment ref="C3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40т.р./мес</t>
        </r>
      </text>
    </comment>
    <comment ref="C4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20т.р./мес</t>
        </r>
      </text>
    </comment>
    <comment ref="C4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20т.р./мес</t>
        </r>
      </text>
    </comment>
    <comment ref="C1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43,5
т.р./мес</t>
        </r>
      </text>
    </comment>
    <comment ref="C1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34,8
т.р./мес</t>
        </r>
      </text>
    </comment>
    <comment ref="C1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26,1
т.р./мес</t>
        </r>
      </text>
    </comment>
    <comment ref="C1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17,4т.р./мес</t>
        </r>
      </text>
    </comment>
    <comment ref="C1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17,4
т.р./мес</t>
        </r>
      </text>
    </comment>
    <comment ref="C1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12,1
т.р./мес</t>
        </r>
      </text>
    </comment>
  </commentList>
</comments>
</file>

<file path=xl/sharedStrings.xml><?xml version="1.0" encoding="utf-8"?>
<sst xmlns="http://schemas.openxmlformats.org/spreadsheetml/2006/main" count="290" uniqueCount="198">
  <si>
    <t>№ п/п</t>
  </si>
  <si>
    <t>Наименование показателей</t>
  </si>
  <si>
    <t>ДОХОДЫ</t>
  </si>
  <si>
    <t>1.1</t>
  </si>
  <si>
    <t>1.2</t>
  </si>
  <si>
    <t>1.3</t>
  </si>
  <si>
    <t>РАСХОДЫ</t>
  </si>
  <si>
    <t>I квартал</t>
  </si>
  <si>
    <t>II квартал</t>
  </si>
  <si>
    <t>III квартал</t>
  </si>
  <si>
    <t>IV квартал</t>
  </si>
  <si>
    <t>Расходы по содержанию и текущему ремонту общего имущества</t>
  </si>
  <si>
    <t>Расходы  по  уборке  и  санитарно-гигиенической  очистке помещений  общего пользования, а также земельного участка</t>
  </si>
  <si>
    <t>Расходы  по техническому обслуживанию, текущему ремонту и содержанию лифтового оборудования</t>
  </si>
  <si>
    <t>Расходы по обеспечению мер пожарной безопасности</t>
  </si>
  <si>
    <t>1.5</t>
  </si>
  <si>
    <t>1.6</t>
  </si>
  <si>
    <t xml:space="preserve">Расходы  по  сбору  и  вывозу  твердых  и  жидких бытовых отходов </t>
  </si>
  <si>
    <t>Расходы  по содержанию и уходу за элементами озеленения и благоустройства</t>
  </si>
  <si>
    <t>1.7</t>
  </si>
  <si>
    <t>1.8</t>
  </si>
  <si>
    <t>Другие расходы по содержанию и текущему ремонту жилищного фонда</t>
  </si>
  <si>
    <t>Расходы  по договорам с ресурсоснабжающими организациями</t>
  </si>
  <si>
    <t>2</t>
  </si>
  <si>
    <t>Материальные расходы</t>
  </si>
  <si>
    <t>транспортные услуги</t>
  </si>
  <si>
    <t>Амортизация оборудования и инвентаря</t>
  </si>
  <si>
    <t>Прочие расходы</t>
  </si>
  <si>
    <t>оплата услуг банка</t>
  </si>
  <si>
    <t>платежи по кредитам банков</t>
  </si>
  <si>
    <t>платежи  по  обязательному  страхованию  имущества</t>
  </si>
  <si>
    <t>налоги,  сборы,  платежи  и  другие  отчисления,  установленные законодательством РФ</t>
  </si>
  <si>
    <t>3.1</t>
  </si>
  <si>
    <t>управляющий 1 чел</t>
  </si>
  <si>
    <t>дворник 2 чел</t>
  </si>
  <si>
    <t>сантехник 1 чел</t>
  </si>
  <si>
    <t>уборщица 2 чел</t>
  </si>
  <si>
    <t>электрик 1 чел</t>
  </si>
  <si>
    <t>1.1.1</t>
  </si>
  <si>
    <t>1.1.3</t>
  </si>
  <si>
    <t>1.1.4</t>
  </si>
  <si>
    <t>1.1.5</t>
  </si>
  <si>
    <t>1.1.6</t>
  </si>
  <si>
    <t>дератизация и дезинфекция</t>
  </si>
  <si>
    <t>1.2.1</t>
  </si>
  <si>
    <t>1.2.2</t>
  </si>
  <si>
    <t>1.2.3</t>
  </si>
  <si>
    <t>приобретение запчастей</t>
  </si>
  <si>
    <t>1.3.1</t>
  </si>
  <si>
    <t>1.3.2</t>
  </si>
  <si>
    <t xml:space="preserve">договор на вывоз ТБО </t>
  </si>
  <si>
    <t>приобретение сырья, материалов, техники, топлива, инвентаря, саженцев и хозяйственных  принадлежностей</t>
  </si>
  <si>
    <t>приобретение оборудования для детской и спортивной площадки, игровой комнаты и комнаты отдыха</t>
  </si>
  <si>
    <t>диспетчер котельной 3 чел</t>
  </si>
  <si>
    <t>налоги</t>
  </si>
  <si>
    <t>оплата аренды помещений для собраний</t>
  </si>
  <si>
    <t>оплата   консультационных,   информационных,  консалтинговых и аудиторских услуг</t>
  </si>
  <si>
    <t>оплата юридических услуг</t>
  </si>
  <si>
    <t>приобретение бумажно-канцелярских принадлежностей, офисного оборудования</t>
  </si>
  <si>
    <t>оплата услуг связи</t>
  </si>
  <si>
    <t>оплата госпошлин</t>
  </si>
  <si>
    <t>Расходы  по техническому обслуживанию, текущему ремонту и содержанию оборудования крышной котельной</t>
  </si>
  <si>
    <t>1.4.1</t>
  </si>
  <si>
    <t>1.4.2</t>
  </si>
  <si>
    <t>технический ремонт</t>
  </si>
  <si>
    <t>транспортировка газа</t>
  </si>
  <si>
    <t>ТО  (ШРП и надземный газопровод)</t>
  </si>
  <si>
    <t>1.4.3</t>
  </si>
  <si>
    <t>1.4.4</t>
  </si>
  <si>
    <t>затраты на обслуживание котельной</t>
  </si>
  <si>
    <t>Расходы по охране общего имущества</t>
  </si>
  <si>
    <t>обслуживание домофона</t>
  </si>
  <si>
    <t>обслуживание охранной сигнализации и камер видеонаблюдения</t>
  </si>
  <si>
    <t>расходы на проведение косметического ремонта общего имущества</t>
  </si>
  <si>
    <t>Капитальный ремонт общего имущества</t>
  </si>
  <si>
    <t>отчисления в резерв на капитальный ремонт жилого фонда</t>
  </si>
  <si>
    <t>Создание резервных фондов</t>
  </si>
  <si>
    <t>1.9</t>
  </si>
  <si>
    <t>1.9.1</t>
  </si>
  <si>
    <t>1.9.2</t>
  </si>
  <si>
    <t>Расходы на ремонт кровли</t>
  </si>
  <si>
    <t>Расходы на ремонт подвала</t>
  </si>
  <si>
    <t>Утепление фасада</t>
  </si>
  <si>
    <t>Укрепление фундамента</t>
  </si>
  <si>
    <t>Замена лифтового оборудования</t>
  </si>
  <si>
    <t>Кап. ремонт внутридомовых инженерных систем</t>
  </si>
  <si>
    <t>2.1</t>
  </si>
  <si>
    <t>2.2</t>
  </si>
  <si>
    <t>2.3</t>
  </si>
  <si>
    <t>2.4</t>
  </si>
  <si>
    <t>2.5</t>
  </si>
  <si>
    <t>2.6</t>
  </si>
  <si>
    <t>1.4.5</t>
  </si>
  <si>
    <t>очистка мусоропровода</t>
  </si>
  <si>
    <t>другие расходы</t>
  </si>
  <si>
    <t>непредвиденные расходы</t>
  </si>
  <si>
    <t>1.4.6</t>
  </si>
  <si>
    <t>1.4.7</t>
  </si>
  <si>
    <t>7.1</t>
  </si>
  <si>
    <t>7.2</t>
  </si>
  <si>
    <t>7.3</t>
  </si>
  <si>
    <t>7.4</t>
  </si>
  <si>
    <t>1.3.3</t>
  </si>
  <si>
    <t>1.4.8</t>
  </si>
  <si>
    <t>Взносы членов ТСЖ</t>
  </si>
  <si>
    <t>Целевое финансирование на содержание и обслуживание жилого фонда, всего</t>
  </si>
  <si>
    <t>Бюджетные поступления</t>
  </si>
  <si>
    <t>Взносы жителей в созданные фонды</t>
  </si>
  <si>
    <t>Коммерческое использование нежилых помещений</t>
  </si>
  <si>
    <t>отчисления в резерв на текущий ремонт жилого фонда и основных средств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</si>
  <si>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</si>
  <si>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</si>
  <si>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</si>
  <si>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</si>
  <si>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</si>
  <si>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</si>
  <si>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</si>
  <si>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</si>
  <si>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</si>
  <si>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Председатель ТСЖ</t>
  </si>
  <si>
    <t>бухгалтер</t>
  </si>
  <si>
    <t>юрист</t>
  </si>
  <si>
    <t>1.7.1</t>
  </si>
  <si>
    <t>1.6.1</t>
  </si>
  <si>
    <t>6.1</t>
  </si>
  <si>
    <t>6.2</t>
  </si>
  <si>
    <t>оборудование котельной</t>
  </si>
  <si>
    <t>лифты</t>
  </si>
  <si>
    <t>1.4</t>
  </si>
  <si>
    <t>1.1.2</t>
  </si>
  <si>
    <t>дворник 1 чел</t>
  </si>
  <si>
    <t>Капитальный ремонт</t>
  </si>
  <si>
    <t>приобретение сырья, материалов, техники, топлива, инвентаря  и хозяйственных  принадлежностей</t>
  </si>
  <si>
    <t>3.2</t>
  </si>
  <si>
    <t>обслуживание системы дымоудаления</t>
  </si>
  <si>
    <t>Коммерческое использование помещений</t>
  </si>
  <si>
    <t>Расходы по охране паркинга</t>
  </si>
  <si>
    <t>Другие расходы по содержанию и текущему ремонту паркинга</t>
  </si>
  <si>
    <t>Расходы по содержанию и текущему ремонту паркинга</t>
  </si>
  <si>
    <t>Целевое финансирование на содержание и обслуживание паркинга, всего</t>
  </si>
  <si>
    <t>Взносы владельцев в созданные фонды</t>
  </si>
  <si>
    <t>Расходы на ремонт потолка</t>
  </si>
  <si>
    <t>Расходы на ремонт наземного покрытия</t>
  </si>
  <si>
    <t>Кап. ремонт инженерных систем</t>
  </si>
  <si>
    <t>Расходы на ремонт въездного и выездного пандусов</t>
  </si>
  <si>
    <t>обслуживание других инженерных систем</t>
  </si>
  <si>
    <t>1.2.4</t>
  </si>
  <si>
    <t>Расходы по техническому обслуживанию инженерных систем паркинга</t>
  </si>
  <si>
    <t>расходы на проведение текущего ремонта</t>
  </si>
  <si>
    <t>расходы, связанные с подготовкой и переподготовкой кадров, аттестацией сотрудников и персонала</t>
  </si>
  <si>
    <t>6.3</t>
  </si>
  <si>
    <t xml:space="preserve">Фонд, используемый на улучшение комфорта проживания (система диспетчеризации, видеонаблюдение, домофон, кабельное ТВ, телефония, интернет и др.) </t>
  </si>
  <si>
    <t>Электроэнергия</t>
  </si>
  <si>
    <t>Потребление воды</t>
  </si>
  <si>
    <t>выставляется по факту в соответствии с площадью парковочного места</t>
  </si>
  <si>
    <t>В руб. на 1 кв.м.</t>
  </si>
  <si>
    <t>1.4.9</t>
  </si>
  <si>
    <t>Организационные расходы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</si>
  <si>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</si>
  <si>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</si>
  <si>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</si>
  <si>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</si>
  <si>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</si>
  <si>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</si>
  <si>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</si>
  <si>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</si>
  <si>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</si>
  <si>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</si>
  <si>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</si>
  <si>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Расходы по техническому обслуживанию, текущему ремонту и содержанию общедомового оборудования и коммуникаций</t>
  </si>
  <si>
    <t>паспортистка 1 чел и налоги</t>
  </si>
  <si>
    <t>5.16</t>
  </si>
  <si>
    <t>7.5</t>
  </si>
  <si>
    <t>фонд на устранение аварийных ситуаций</t>
  </si>
  <si>
    <t>фонд на приобретение имущества взамен похищенного или сломанного</t>
  </si>
  <si>
    <t>фонд на устранение строительных недоделок</t>
  </si>
  <si>
    <t>Неизрасходованные за отчетный период денежные средства зачисляются в п.3 статьи "Доходы" на следующий отчетный год.</t>
  </si>
  <si>
    <t>Неизрасходованные за отчетный период денежные средства зачисляются в п.2 статьи "Доходы" на следующий отчетный год.</t>
  </si>
  <si>
    <t>1.2.5</t>
  </si>
  <si>
    <t>1.2.6</t>
  </si>
  <si>
    <t>1.9.3</t>
  </si>
  <si>
    <t>неустойка за невыборку газа/штраф за перебор газа</t>
  </si>
  <si>
    <t>Поступления от размещения рекламы на фасаде и территории ЖК</t>
  </si>
  <si>
    <t>договор на обслуживание лифтов</t>
  </si>
  <si>
    <t>договор с охранным предприятием</t>
  </si>
  <si>
    <t>ТО вводного и внутреннего газопровода</t>
  </si>
  <si>
    <t>механизированная уборка снега и очистка кровли</t>
  </si>
  <si>
    <t>ТО газового оборудования квартир</t>
  </si>
  <si>
    <t>делопроизводитель 1 чел</t>
  </si>
  <si>
    <t>Главный инженер 1 чел</t>
  </si>
  <si>
    <t>договорy на охрану</t>
  </si>
  <si>
    <t>Стоимость за 1 кв. м. в месяц</t>
  </si>
  <si>
    <t>Расходы по содержанию, обслуживанию и охране общего имущества без введенных в эксплуатацию лифтов</t>
  </si>
  <si>
    <t>Паркинг</t>
  </si>
  <si>
    <t>Смета доходов и расходов ТСЖ "Ильинка" с ноября 2011 по февраль 2012 года (квартира).</t>
  </si>
  <si>
    <t>В руб. на 1 кв.м. мес.</t>
  </si>
  <si>
    <t>Смета доходов и расходов ТСЖ "Ильинка" с ноября 2011 по февраль 2012 года (паркинг).</t>
  </si>
  <si>
    <t>За 4 месяца тыс. руб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</si>
</sst>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56"/>
      <name val="Times New Roman"/>
      <family val="1"/>
    </font>
    <font>
      <sz val="10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3"/>
      <name val="Times New Roman"/>
      <family val="1"/>
    </font>
    <font>
      <sz val="10"/>
      <color rgb="FFC0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9" fillId="0" borderId="10" xfId="0" applyFont="1" applyBorder="1" applyAlignment="1">
      <alignment wrapText="1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left" vertical="top"/>
    </xf>
    <xf numFmtId="0" fontId="49" fillId="0" borderId="10" xfId="0" applyFont="1" applyBorder="1" applyAlignment="1">
      <alignment/>
    </xf>
    <xf numFmtId="0" fontId="49" fillId="33" borderId="10" xfId="0" applyFont="1" applyFill="1" applyBorder="1" applyAlignment="1">
      <alignment horizontal="left" vertical="top"/>
    </xf>
    <xf numFmtId="0" fontId="49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/>
    </xf>
    <xf numFmtId="49" fontId="49" fillId="0" borderId="10" xfId="0" applyNumberFormat="1" applyFont="1" applyBorder="1" applyAlignment="1">
      <alignment horizontal="left" vertical="top"/>
    </xf>
    <xf numFmtId="164" fontId="50" fillId="0" borderId="10" xfId="0" applyNumberFormat="1" applyFont="1" applyBorder="1" applyAlignment="1">
      <alignment/>
    </xf>
    <xf numFmtId="164" fontId="49" fillId="0" borderId="10" xfId="0" applyNumberFormat="1" applyFont="1" applyBorder="1" applyAlignment="1">
      <alignment/>
    </xf>
    <xf numFmtId="0" fontId="51" fillId="0" borderId="0" xfId="0" applyFont="1" applyAlignment="1">
      <alignment/>
    </xf>
    <xf numFmtId="164" fontId="50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 wrapText="1"/>
    </xf>
    <xf numFmtId="2" fontId="52" fillId="34" borderId="10" xfId="0" applyNumberFormat="1" applyFont="1" applyFill="1" applyBorder="1" applyAlignment="1">
      <alignment/>
    </xf>
    <xf numFmtId="2" fontId="49" fillId="0" borderId="10" xfId="0" applyNumberFormat="1" applyFont="1" applyBorder="1" applyAlignment="1">
      <alignment/>
    </xf>
    <xf numFmtId="2" fontId="50" fillId="33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49" fillId="0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 horizontal="left" vertical="top"/>
    </xf>
    <xf numFmtId="0" fontId="50" fillId="0" borderId="10" xfId="0" applyFont="1" applyFill="1" applyBorder="1" applyAlignment="1">
      <alignment wrapText="1"/>
    </xf>
    <xf numFmtId="164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wrapText="1"/>
    </xf>
    <xf numFmtId="164" fontId="50" fillId="0" borderId="10" xfId="0" applyNumberFormat="1" applyFont="1" applyFill="1" applyBorder="1" applyAlignment="1">
      <alignment/>
    </xf>
    <xf numFmtId="49" fontId="49" fillId="0" borderId="10" xfId="0" applyNumberFormat="1" applyFont="1" applyFill="1" applyBorder="1" applyAlignment="1">
      <alignment horizontal="left" vertical="top"/>
    </xf>
    <xf numFmtId="2" fontId="49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wrapText="1"/>
    </xf>
    <xf numFmtId="16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 horizontal="left" vertical="top"/>
    </xf>
    <xf numFmtId="0" fontId="49" fillId="0" borderId="0" xfId="0" applyFont="1" applyFill="1" applyAlignment="1">
      <alignment wrapText="1"/>
    </xf>
    <xf numFmtId="164" fontId="49" fillId="33" borderId="10" xfId="0" applyNumberFormat="1" applyFont="1" applyFill="1" applyBorder="1" applyAlignment="1">
      <alignment/>
    </xf>
    <xf numFmtId="2" fontId="49" fillId="33" borderId="10" xfId="0" applyNumberFormat="1" applyFont="1" applyFill="1" applyBorder="1" applyAlignment="1">
      <alignment/>
    </xf>
    <xf numFmtId="0" fontId="53" fillId="0" borderId="0" xfId="0" applyFont="1" applyFill="1" applyAlignment="1">
      <alignment wrapText="1"/>
    </xf>
    <xf numFmtId="0" fontId="4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2" fontId="39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="89" zoomScaleNormal="89" zoomScalePageLayoutView="0" workbookViewId="0" topLeftCell="A1">
      <pane ySplit="3" topLeftCell="A4" activePane="bottomLeft" state="frozen"/>
      <selection pane="topLeft" activeCell="A1" sqref="A1"/>
      <selection pane="bottomLeft" activeCell="M84" sqref="M84"/>
    </sheetView>
  </sheetViews>
  <sheetFormatPr defaultColWidth="8.8515625" defaultRowHeight="15" outlineLevelRow="1" outlineLevelCol="1"/>
  <cols>
    <col min="1" max="1" width="7.28125" style="38" customWidth="1"/>
    <col min="2" max="2" width="47.28125" style="39" customWidth="1"/>
    <col min="3" max="3" width="10.8515625" style="24" bestFit="1" customWidth="1"/>
    <col min="4" max="4" width="9.140625" style="24" hidden="1" customWidth="1" outlineLevel="1"/>
    <col min="5" max="5" width="9.57421875" style="24" hidden="1" customWidth="1" outlineLevel="1"/>
    <col min="6" max="7" width="10.28125" style="24" hidden="1" customWidth="1" outlineLevel="1"/>
    <col min="8" max="8" width="8.8515625" style="24" customWidth="1" collapsed="1"/>
    <col min="9" max="16384" width="8.8515625" style="24" customWidth="1"/>
  </cols>
  <sheetData>
    <row r="1" spans="1:8" s="22" customFormat="1" ht="39" customHeight="1">
      <c r="A1" s="46" t="s">
        <v>194</v>
      </c>
      <c r="B1" s="46"/>
      <c r="C1" s="46"/>
      <c r="D1" s="46"/>
      <c r="E1" s="46"/>
      <c r="F1" s="46"/>
      <c r="G1" s="46"/>
      <c r="H1" s="46"/>
    </row>
    <row r="2" ht="6.75" customHeight="1"/>
    <row r="3" spans="1:8" ht="38.25">
      <c r="A3" s="21" t="s">
        <v>0</v>
      </c>
      <c r="B3" s="20" t="s">
        <v>1</v>
      </c>
      <c r="C3" s="20" t="s">
        <v>197</v>
      </c>
      <c r="D3" s="9" t="s">
        <v>7</v>
      </c>
      <c r="E3" s="9" t="s">
        <v>8</v>
      </c>
      <c r="F3" s="9" t="s">
        <v>9</v>
      </c>
      <c r="G3" s="9" t="s">
        <v>10</v>
      </c>
      <c r="H3" s="20" t="s">
        <v>195</v>
      </c>
    </row>
    <row r="4" spans="1:8" ht="12.75" hidden="1" outlineLevel="1">
      <c r="A4" s="25"/>
      <c r="B4" s="26" t="s">
        <v>2</v>
      </c>
      <c r="C4" s="27">
        <f>SUM(C5:C8)</f>
        <v>637.2017490641093</v>
      </c>
      <c r="D4" s="23"/>
      <c r="E4" s="23"/>
      <c r="F4" s="23"/>
      <c r="G4" s="23"/>
      <c r="H4" s="23"/>
    </row>
    <row r="5" spans="1:8" ht="25.5" hidden="1" outlineLevel="1">
      <c r="A5" s="25">
        <v>1</v>
      </c>
      <c r="B5" s="28" t="s">
        <v>105</v>
      </c>
      <c r="C5" s="27">
        <f>C11</f>
        <v>637.2017490641093</v>
      </c>
      <c r="D5" s="23"/>
      <c r="E5" s="23"/>
      <c r="F5" s="23"/>
      <c r="G5" s="23"/>
      <c r="H5" s="23"/>
    </row>
    <row r="6" spans="1:8" ht="12.75" hidden="1" outlineLevel="1">
      <c r="A6" s="25">
        <v>2</v>
      </c>
      <c r="B6" s="28" t="s">
        <v>106</v>
      </c>
      <c r="C6" s="27">
        <v>0</v>
      </c>
      <c r="D6" s="23"/>
      <c r="E6" s="23"/>
      <c r="F6" s="23"/>
      <c r="G6" s="23"/>
      <c r="H6" s="23"/>
    </row>
    <row r="7" spans="1:8" ht="12.75" hidden="1" outlineLevel="1">
      <c r="A7" s="25">
        <v>3</v>
      </c>
      <c r="B7" s="28" t="s">
        <v>107</v>
      </c>
      <c r="C7" s="27">
        <v>0</v>
      </c>
      <c r="D7" s="23"/>
      <c r="E7" s="23"/>
      <c r="F7" s="23"/>
      <c r="G7" s="23"/>
      <c r="H7" s="23"/>
    </row>
    <row r="8" spans="1:8" ht="12.75" hidden="1" outlineLevel="1">
      <c r="A8" s="25">
        <v>4</v>
      </c>
      <c r="B8" s="28" t="s">
        <v>108</v>
      </c>
      <c r="C8" s="27">
        <v>0</v>
      </c>
      <c r="D8" s="23"/>
      <c r="E8" s="23"/>
      <c r="F8" s="23"/>
      <c r="G8" s="23"/>
      <c r="H8" s="23"/>
    </row>
    <row r="9" spans="1:8" ht="25.5" hidden="1" outlineLevel="1">
      <c r="A9" s="25">
        <v>5</v>
      </c>
      <c r="B9" s="28" t="s">
        <v>182</v>
      </c>
      <c r="C9" s="27">
        <v>0</v>
      </c>
      <c r="D9" s="23"/>
      <c r="E9" s="23"/>
      <c r="F9" s="23"/>
      <c r="G9" s="23"/>
      <c r="H9" s="23"/>
    </row>
    <row r="10" spans="1:8" ht="12.75" hidden="1" outlineLevel="1">
      <c r="A10" s="25">
        <v>6</v>
      </c>
      <c r="B10" s="28" t="s">
        <v>104</v>
      </c>
      <c r="C10" s="27">
        <v>0</v>
      </c>
      <c r="D10" s="23"/>
      <c r="E10" s="23"/>
      <c r="F10" s="23"/>
      <c r="G10" s="23"/>
      <c r="H10" s="23"/>
    </row>
    <row r="11" spans="1:8" ht="12.75" collapsed="1">
      <c r="A11" s="25"/>
      <c r="B11" s="26" t="s">
        <v>6</v>
      </c>
      <c r="C11" s="29">
        <f>C12+C51+C58+C61+C67+C84+C87</f>
        <v>637.2017490641093</v>
      </c>
      <c r="D11" s="23"/>
      <c r="E11" s="23"/>
      <c r="F11" s="23"/>
      <c r="G11" s="23"/>
      <c r="H11" s="16">
        <f>H12+H51+H58+H61+H67+H84+H87</f>
        <v>9.889999999999999</v>
      </c>
    </row>
    <row r="12" spans="1:8" ht="25.5">
      <c r="A12" s="7">
        <v>1</v>
      </c>
      <c r="B12" s="8" t="s">
        <v>11</v>
      </c>
      <c r="C12" s="40">
        <f>C13+C20+C27+C31+C41+C42+C44+C46+C47</f>
        <v>20</v>
      </c>
      <c r="D12" s="9"/>
      <c r="E12" s="9"/>
      <c r="F12" s="9"/>
      <c r="G12" s="9"/>
      <c r="H12" s="41">
        <f>ROUND(C12/4/16103*1000,2)</f>
        <v>0.31</v>
      </c>
    </row>
    <row r="13" spans="1:8" ht="38.25">
      <c r="A13" s="30" t="s">
        <v>3</v>
      </c>
      <c r="B13" s="28" t="s">
        <v>169</v>
      </c>
      <c r="C13" s="27">
        <f>SUM(C14:C19)</f>
        <v>0</v>
      </c>
      <c r="D13" s="23"/>
      <c r="E13" s="23"/>
      <c r="F13" s="23"/>
      <c r="G13" s="23"/>
      <c r="H13" s="31">
        <f>ROUND(C13/4/16103*1000,2)</f>
        <v>0</v>
      </c>
    </row>
    <row r="14" spans="1:8" ht="12.75" hidden="1" outlineLevel="1">
      <c r="A14" s="30" t="s">
        <v>38</v>
      </c>
      <c r="B14" s="28" t="s">
        <v>33</v>
      </c>
      <c r="C14" s="27">
        <f>0/19212*16205</f>
        <v>0</v>
      </c>
      <c r="D14" s="23"/>
      <c r="E14" s="23"/>
      <c r="F14" s="23"/>
      <c r="G14" s="23"/>
      <c r="H14" s="31">
        <f aca="true" t="shared" si="0" ref="H14:H19">ROUND(C14/4/16103*1000,2)</f>
        <v>0</v>
      </c>
    </row>
    <row r="15" spans="1:8" ht="12.75" hidden="1" outlineLevel="1">
      <c r="A15" s="30" t="s">
        <v>129</v>
      </c>
      <c r="B15" s="28" t="s">
        <v>189</v>
      </c>
      <c r="C15" s="27">
        <f>0/19212*16205</f>
        <v>0</v>
      </c>
      <c r="D15" s="23"/>
      <c r="E15" s="23"/>
      <c r="F15" s="23"/>
      <c r="G15" s="23"/>
      <c r="H15" s="31">
        <f t="shared" si="0"/>
        <v>0</v>
      </c>
    </row>
    <row r="16" spans="1:8" ht="12.75" hidden="1" outlineLevel="1">
      <c r="A16" s="30" t="s">
        <v>39</v>
      </c>
      <c r="B16" s="28" t="s">
        <v>188</v>
      </c>
      <c r="C16" s="27">
        <f>0/19212*16205</f>
        <v>0</v>
      </c>
      <c r="D16" s="23"/>
      <c r="E16" s="23"/>
      <c r="F16" s="23"/>
      <c r="G16" s="23"/>
      <c r="H16" s="31">
        <f t="shared" si="0"/>
        <v>0</v>
      </c>
    </row>
    <row r="17" spans="1:8" ht="12.75" hidden="1" outlineLevel="1">
      <c r="A17" s="30" t="s">
        <v>40</v>
      </c>
      <c r="B17" s="28" t="s">
        <v>35</v>
      </c>
      <c r="C17" s="27">
        <f>0/19212*16205</f>
        <v>0</v>
      </c>
      <c r="D17" s="23"/>
      <c r="E17" s="23"/>
      <c r="F17" s="23"/>
      <c r="G17" s="23"/>
      <c r="H17" s="31">
        <f t="shared" si="0"/>
        <v>0</v>
      </c>
    </row>
    <row r="18" spans="1:8" ht="12.75" hidden="1" outlineLevel="1">
      <c r="A18" s="30" t="s">
        <v>41</v>
      </c>
      <c r="B18" s="28" t="s">
        <v>37</v>
      </c>
      <c r="C18" s="27">
        <f>0/19212*16205</f>
        <v>0</v>
      </c>
      <c r="D18" s="23"/>
      <c r="E18" s="23"/>
      <c r="F18" s="23"/>
      <c r="G18" s="23"/>
      <c r="H18" s="31">
        <f t="shared" si="0"/>
        <v>0</v>
      </c>
    </row>
    <row r="19" spans="1:8" ht="12.75" hidden="1" outlineLevel="1">
      <c r="A19" s="30" t="s">
        <v>42</v>
      </c>
      <c r="B19" s="28" t="s">
        <v>54</v>
      </c>
      <c r="C19" s="27">
        <f>SUM(C14:C18)*0.34</f>
        <v>0</v>
      </c>
      <c r="D19" s="23"/>
      <c r="E19" s="23"/>
      <c r="F19" s="23"/>
      <c r="G19" s="23"/>
      <c r="H19" s="31">
        <f t="shared" si="0"/>
        <v>0</v>
      </c>
    </row>
    <row r="20" spans="1:8" ht="38.25" collapsed="1">
      <c r="A20" s="30" t="s">
        <v>4</v>
      </c>
      <c r="B20" s="28" t="s">
        <v>12</v>
      </c>
      <c r="C20" s="27">
        <f aca="true" t="shared" si="1" ref="C20:H20">SUM(C21:C26)</f>
        <v>0</v>
      </c>
      <c r="D20" s="27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31">
        <f t="shared" si="1"/>
        <v>0</v>
      </c>
    </row>
    <row r="21" spans="1:8" ht="12.75" hidden="1" outlineLevel="1">
      <c r="A21" s="30" t="s">
        <v>44</v>
      </c>
      <c r="B21" s="28" t="s">
        <v>34</v>
      </c>
      <c r="C21" s="27"/>
      <c r="D21" s="23"/>
      <c r="E21" s="23"/>
      <c r="F21" s="23"/>
      <c r="G21" s="23"/>
      <c r="H21" s="31">
        <f aca="true" t="shared" si="2" ref="H21:H52">ROUND(C21/12/16103*1000,2)</f>
        <v>0</v>
      </c>
    </row>
    <row r="22" spans="1:8" ht="12.75" hidden="1" outlineLevel="1">
      <c r="A22" s="30" t="s">
        <v>45</v>
      </c>
      <c r="B22" s="28" t="s">
        <v>36</v>
      </c>
      <c r="C22" s="27"/>
      <c r="D22" s="23"/>
      <c r="E22" s="23"/>
      <c r="F22" s="23"/>
      <c r="G22" s="23"/>
      <c r="H22" s="31">
        <f t="shared" si="2"/>
        <v>0</v>
      </c>
    </row>
    <row r="23" spans="1:8" ht="12.75" hidden="1" outlineLevel="1">
      <c r="A23" s="30" t="s">
        <v>46</v>
      </c>
      <c r="B23" s="28" t="s">
        <v>54</v>
      </c>
      <c r="C23" s="27">
        <f>SUM(C21:C22)*0.34</f>
        <v>0</v>
      </c>
      <c r="D23" s="23"/>
      <c r="E23" s="23"/>
      <c r="F23" s="23"/>
      <c r="G23" s="23"/>
      <c r="H23" s="31">
        <f t="shared" si="2"/>
        <v>0</v>
      </c>
    </row>
    <row r="24" spans="1:8" ht="12.75" hidden="1" outlineLevel="1">
      <c r="A24" s="30" t="s">
        <v>146</v>
      </c>
      <c r="B24" s="28" t="s">
        <v>43</v>
      </c>
      <c r="C24" s="27">
        <v>0</v>
      </c>
      <c r="D24" s="23"/>
      <c r="E24" s="23"/>
      <c r="F24" s="23"/>
      <c r="G24" s="23"/>
      <c r="H24" s="31">
        <f t="shared" si="2"/>
        <v>0</v>
      </c>
    </row>
    <row r="25" spans="1:8" ht="12.75" hidden="1" outlineLevel="1">
      <c r="A25" s="30" t="s">
        <v>178</v>
      </c>
      <c r="B25" s="28" t="s">
        <v>186</v>
      </c>
      <c r="C25" s="27">
        <v>0</v>
      </c>
      <c r="D25" s="23"/>
      <c r="E25" s="23"/>
      <c r="F25" s="23"/>
      <c r="G25" s="23"/>
      <c r="H25" s="31">
        <f t="shared" si="2"/>
        <v>0</v>
      </c>
    </row>
    <row r="26" spans="1:8" ht="12.75" hidden="1" outlineLevel="1">
      <c r="A26" s="30" t="s">
        <v>179</v>
      </c>
      <c r="B26" s="28" t="s">
        <v>93</v>
      </c>
      <c r="C26" s="27">
        <v>0</v>
      </c>
      <c r="D26" s="23"/>
      <c r="E26" s="23"/>
      <c r="F26" s="23"/>
      <c r="G26" s="23"/>
      <c r="H26" s="31">
        <f t="shared" si="2"/>
        <v>0</v>
      </c>
    </row>
    <row r="27" spans="1:8" ht="38.25" collapsed="1">
      <c r="A27" s="30" t="s">
        <v>5</v>
      </c>
      <c r="B27" s="28" t="s">
        <v>13</v>
      </c>
      <c r="C27" s="27">
        <f>SUM(C28:C30)</f>
        <v>0</v>
      </c>
      <c r="D27" s="23"/>
      <c r="E27" s="23"/>
      <c r="F27" s="23"/>
      <c r="G27" s="23"/>
      <c r="H27" s="31">
        <f t="shared" si="2"/>
        <v>0</v>
      </c>
    </row>
    <row r="28" spans="1:8" ht="12.75" hidden="1" outlineLevel="1">
      <c r="A28" s="30" t="s">
        <v>48</v>
      </c>
      <c r="B28" s="28" t="s">
        <v>183</v>
      </c>
      <c r="C28" s="27">
        <v>0</v>
      </c>
      <c r="D28" s="23"/>
      <c r="E28" s="23"/>
      <c r="F28" s="23"/>
      <c r="G28" s="23"/>
      <c r="H28" s="31">
        <f t="shared" si="2"/>
        <v>0</v>
      </c>
    </row>
    <row r="29" spans="1:8" ht="12.75" hidden="1" outlineLevel="1">
      <c r="A29" s="30" t="s">
        <v>49</v>
      </c>
      <c r="B29" s="28" t="s">
        <v>47</v>
      </c>
      <c r="C29" s="27">
        <v>0</v>
      </c>
      <c r="D29" s="23"/>
      <c r="E29" s="23"/>
      <c r="F29" s="23"/>
      <c r="G29" s="23"/>
      <c r="H29" s="31">
        <f t="shared" si="2"/>
        <v>0</v>
      </c>
    </row>
    <row r="30" spans="1:8" ht="12.75" hidden="1" outlineLevel="1">
      <c r="A30" s="30" t="s">
        <v>102</v>
      </c>
      <c r="B30" s="28" t="s">
        <v>95</v>
      </c>
      <c r="C30" s="27">
        <v>0</v>
      </c>
      <c r="D30" s="23"/>
      <c r="E30" s="23"/>
      <c r="F30" s="23"/>
      <c r="G30" s="23"/>
      <c r="H30" s="31">
        <f t="shared" si="2"/>
        <v>0</v>
      </c>
    </row>
    <row r="31" spans="1:8" s="36" customFormat="1" ht="38.25" collapsed="1">
      <c r="A31" s="32" t="s">
        <v>128</v>
      </c>
      <c r="B31" s="33" t="s">
        <v>61</v>
      </c>
      <c r="C31" s="34">
        <f>SUM(C33:C40)</f>
        <v>0</v>
      </c>
      <c r="D31" s="35"/>
      <c r="E31" s="35"/>
      <c r="F31" s="35"/>
      <c r="G31" s="35"/>
      <c r="H31" s="37">
        <f t="shared" si="2"/>
        <v>0</v>
      </c>
    </row>
    <row r="32" spans="1:8" ht="12.75" hidden="1" outlineLevel="1">
      <c r="A32" s="32" t="s">
        <v>62</v>
      </c>
      <c r="B32" s="28" t="s">
        <v>64</v>
      </c>
      <c r="C32" s="27">
        <v>0</v>
      </c>
      <c r="D32" s="23"/>
      <c r="E32" s="23"/>
      <c r="F32" s="23"/>
      <c r="G32" s="23"/>
      <c r="H32" s="31">
        <f t="shared" si="2"/>
        <v>0</v>
      </c>
    </row>
    <row r="33" spans="1:8" ht="12.75" hidden="1" outlineLevel="1">
      <c r="A33" s="32" t="s">
        <v>63</v>
      </c>
      <c r="B33" s="28" t="s">
        <v>65</v>
      </c>
      <c r="C33" s="27">
        <v>0</v>
      </c>
      <c r="D33" s="23"/>
      <c r="E33" s="23"/>
      <c r="F33" s="23"/>
      <c r="G33" s="23"/>
      <c r="H33" s="31">
        <f t="shared" si="2"/>
        <v>0</v>
      </c>
    </row>
    <row r="34" spans="1:8" ht="12.75" hidden="1" outlineLevel="1">
      <c r="A34" s="32" t="s">
        <v>67</v>
      </c>
      <c r="B34" s="28" t="s">
        <v>66</v>
      </c>
      <c r="C34" s="27">
        <v>0</v>
      </c>
      <c r="D34" s="23"/>
      <c r="E34" s="23"/>
      <c r="F34" s="23"/>
      <c r="G34" s="23"/>
      <c r="H34" s="31">
        <f t="shared" si="2"/>
        <v>0</v>
      </c>
    </row>
    <row r="35" spans="1:8" ht="12.75" hidden="1" outlineLevel="1">
      <c r="A35" s="32" t="s">
        <v>68</v>
      </c>
      <c r="B35" s="28" t="s">
        <v>181</v>
      </c>
      <c r="C35" s="27">
        <v>0</v>
      </c>
      <c r="D35" s="23"/>
      <c r="E35" s="23"/>
      <c r="F35" s="23"/>
      <c r="G35" s="23"/>
      <c r="H35" s="31">
        <f t="shared" si="2"/>
        <v>0</v>
      </c>
    </row>
    <row r="36" spans="1:8" s="36" customFormat="1" ht="12.75" hidden="1" outlineLevel="1">
      <c r="A36" s="32" t="s">
        <v>92</v>
      </c>
      <c r="B36" s="33" t="s">
        <v>69</v>
      </c>
      <c r="C36" s="34">
        <v>0</v>
      </c>
      <c r="D36" s="35"/>
      <c r="E36" s="35"/>
      <c r="F36" s="35"/>
      <c r="G36" s="35"/>
      <c r="H36" s="37">
        <f t="shared" si="2"/>
        <v>0</v>
      </c>
    </row>
    <row r="37" spans="1:8" s="36" customFormat="1" ht="12.75" hidden="1" outlineLevel="1">
      <c r="A37" s="32" t="s">
        <v>96</v>
      </c>
      <c r="B37" s="33" t="s">
        <v>47</v>
      </c>
      <c r="C37" s="34">
        <v>0</v>
      </c>
      <c r="D37" s="35"/>
      <c r="E37" s="35"/>
      <c r="F37" s="35"/>
      <c r="G37" s="35"/>
      <c r="H37" s="37">
        <f t="shared" si="2"/>
        <v>0</v>
      </c>
    </row>
    <row r="38" spans="1:8" s="36" customFormat="1" ht="12.75" hidden="1" outlineLevel="1">
      <c r="A38" s="32" t="s">
        <v>97</v>
      </c>
      <c r="B38" s="33" t="s">
        <v>95</v>
      </c>
      <c r="C38" s="34">
        <v>0</v>
      </c>
      <c r="D38" s="35"/>
      <c r="E38" s="35"/>
      <c r="F38" s="35"/>
      <c r="G38" s="35"/>
      <c r="H38" s="37">
        <f t="shared" si="2"/>
        <v>0</v>
      </c>
    </row>
    <row r="39" spans="1:8" ht="12.75" hidden="1" outlineLevel="1">
      <c r="A39" s="32" t="s">
        <v>103</v>
      </c>
      <c r="B39" s="28" t="s">
        <v>53</v>
      </c>
      <c r="C39" s="27">
        <v>0</v>
      </c>
      <c r="D39" s="23"/>
      <c r="E39" s="23"/>
      <c r="F39" s="23"/>
      <c r="G39" s="23"/>
      <c r="H39" s="31">
        <f t="shared" si="2"/>
        <v>0</v>
      </c>
    </row>
    <row r="40" spans="1:8" ht="12.75" hidden="1" outlineLevel="1">
      <c r="A40" s="32" t="s">
        <v>156</v>
      </c>
      <c r="B40" s="28" t="s">
        <v>54</v>
      </c>
      <c r="C40" s="27">
        <f>C39*0.34</f>
        <v>0</v>
      </c>
      <c r="D40" s="23"/>
      <c r="E40" s="23"/>
      <c r="F40" s="23"/>
      <c r="G40" s="23"/>
      <c r="H40" s="31">
        <f t="shared" si="2"/>
        <v>0</v>
      </c>
    </row>
    <row r="41" spans="1:8" ht="25.5" collapsed="1">
      <c r="A41" s="30" t="s">
        <v>15</v>
      </c>
      <c r="B41" s="28" t="s">
        <v>14</v>
      </c>
      <c r="C41" s="27">
        <v>0</v>
      </c>
      <c r="D41" s="23"/>
      <c r="E41" s="23"/>
      <c r="F41" s="23"/>
      <c r="G41" s="23"/>
      <c r="H41" s="31">
        <f t="shared" si="2"/>
        <v>0</v>
      </c>
    </row>
    <row r="42" spans="1:8" ht="12.75" collapsed="1">
      <c r="A42" s="30" t="s">
        <v>16</v>
      </c>
      <c r="B42" s="28" t="s">
        <v>70</v>
      </c>
      <c r="C42" s="27">
        <f>C43</f>
        <v>0</v>
      </c>
      <c r="D42" s="23"/>
      <c r="E42" s="23"/>
      <c r="F42" s="23"/>
      <c r="G42" s="23"/>
      <c r="H42" s="31">
        <f t="shared" si="2"/>
        <v>0</v>
      </c>
    </row>
    <row r="43" spans="1:8" ht="12.75" hidden="1" outlineLevel="1">
      <c r="A43" s="30" t="s">
        <v>123</v>
      </c>
      <c r="B43" s="28" t="s">
        <v>184</v>
      </c>
      <c r="C43" s="27">
        <f>0/19212*16205</f>
        <v>0</v>
      </c>
      <c r="D43" s="23"/>
      <c r="E43" s="23"/>
      <c r="F43" s="23"/>
      <c r="G43" s="23"/>
      <c r="H43" s="31">
        <f t="shared" si="2"/>
        <v>0</v>
      </c>
    </row>
    <row r="44" spans="1:8" ht="25.5" collapsed="1">
      <c r="A44" s="30" t="s">
        <v>19</v>
      </c>
      <c r="B44" s="28" t="s">
        <v>17</v>
      </c>
      <c r="C44" s="27">
        <f>C45</f>
        <v>0</v>
      </c>
      <c r="D44" s="23"/>
      <c r="E44" s="23"/>
      <c r="F44" s="23"/>
      <c r="G44" s="23"/>
      <c r="H44" s="31">
        <f t="shared" si="2"/>
        <v>0</v>
      </c>
    </row>
    <row r="45" spans="1:8" ht="12.75" hidden="1" outlineLevel="1">
      <c r="A45" s="30" t="s">
        <v>122</v>
      </c>
      <c r="B45" s="28" t="s">
        <v>50</v>
      </c>
      <c r="C45" s="27">
        <v>0</v>
      </c>
      <c r="D45" s="23"/>
      <c r="E45" s="23"/>
      <c r="F45" s="23"/>
      <c r="G45" s="23"/>
      <c r="H45" s="31">
        <f t="shared" si="2"/>
        <v>0</v>
      </c>
    </row>
    <row r="46" spans="1:8" ht="25.5" collapsed="1">
      <c r="A46" s="30" t="s">
        <v>20</v>
      </c>
      <c r="B46" s="28" t="s">
        <v>18</v>
      </c>
      <c r="C46" s="27">
        <v>20</v>
      </c>
      <c r="D46" s="23"/>
      <c r="E46" s="23"/>
      <c r="F46" s="23"/>
      <c r="G46" s="23"/>
      <c r="H46" s="31">
        <f>ROUND(C46/4/16103*1000,2)</f>
        <v>0.31</v>
      </c>
    </row>
    <row r="47" spans="1:8" ht="25.5">
      <c r="A47" s="30" t="s">
        <v>77</v>
      </c>
      <c r="B47" s="28" t="s">
        <v>21</v>
      </c>
      <c r="C47" s="27">
        <f>SUM(C48:C50)</f>
        <v>0</v>
      </c>
      <c r="D47" s="23"/>
      <c r="E47" s="23"/>
      <c r="F47" s="23"/>
      <c r="G47" s="23"/>
      <c r="H47" s="31">
        <f t="shared" si="2"/>
        <v>0</v>
      </c>
    </row>
    <row r="48" spans="1:8" ht="12.75" hidden="1" outlineLevel="1">
      <c r="A48" s="30" t="s">
        <v>78</v>
      </c>
      <c r="B48" s="28" t="s">
        <v>71</v>
      </c>
      <c r="C48" s="27">
        <v>0</v>
      </c>
      <c r="D48" s="23"/>
      <c r="E48" s="23"/>
      <c r="F48" s="23"/>
      <c r="G48" s="23"/>
      <c r="H48" s="31">
        <f t="shared" si="2"/>
        <v>0</v>
      </c>
    </row>
    <row r="49" spans="1:8" ht="25.5" hidden="1" outlineLevel="1">
      <c r="A49" s="30" t="s">
        <v>79</v>
      </c>
      <c r="B49" s="28" t="s">
        <v>72</v>
      </c>
      <c r="C49" s="27">
        <v>0</v>
      </c>
      <c r="D49" s="23"/>
      <c r="E49" s="23"/>
      <c r="F49" s="23"/>
      <c r="G49" s="23"/>
      <c r="H49" s="31">
        <f t="shared" si="2"/>
        <v>0</v>
      </c>
    </row>
    <row r="50" spans="1:8" ht="25.5" hidden="1" outlineLevel="1">
      <c r="A50" s="30" t="s">
        <v>180</v>
      </c>
      <c r="B50" s="28" t="s">
        <v>73</v>
      </c>
      <c r="C50" s="27">
        <v>0</v>
      </c>
      <c r="D50" s="23"/>
      <c r="E50" s="23"/>
      <c r="F50" s="23"/>
      <c r="G50" s="23"/>
      <c r="H50" s="31">
        <f t="shared" si="2"/>
        <v>0</v>
      </c>
    </row>
    <row r="51" spans="1:8" ht="12.75" collapsed="1">
      <c r="A51" s="7" t="s">
        <v>23</v>
      </c>
      <c r="B51" s="8" t="s">
        <v>74</v>
      </c>
      <c r="C51" s="40">
        <f>SUM(C52:C57)</f>
        <v>0</v>
      </c>
      <c r="D51" s="9"/>
      <c r="E51" s="9"/>
      <c r="F51" s="9"/>
      <c r="G51" s="9"/>
      <c r="H51" s="41">
        <f t="shared" si="2"/>
        <v>0</v>
      </c>
    </row>
    <row r="52" spans="1:8" ht="12.75" hidden="1" outlineLevel="1">
      <c r="A52" s="30" t="s">
        <v>86</v>
      </c>
      <c r="B52" s="28" t="s">
        <v>80</v>
      </c>
      <c r="C52" s="27">
        <v>0</v>
      </c>
      <c r="D52" s="23"/>
      <c r="E52" s="23"/>
      <c r="F52" s="23"/>
      <c r="G52" s="23"/>
      <c r="H52" s="31">
        <f t="shared" si="2"/>
        <v>0</v>
      </c>
    </row>
    <row r="53" spans="1:8" ht="12.75" hidden="1" outlineLevel="1">
      <c r="A53" s="30" t="s">
        <v>87</v>
      </c>
      <c r="B53" s="28" t="s">
        <v>81</v>
      </c>
      <c r="C53" s="27">
        <v>0</v>
      </c>
      <c r="D53" s="23"/>
      <c r="E53" s="23"/>
      <c r="F53" s="23"/>
      <c r="G53" s="23"/>
      <c r="H53" s="31">
        <f aca="true" t="shared" si="3" ref="H53:H84">ROUND(C53/12/16103*1000,2)</f>
        <v>0</v>
      </c>
    </row>
    <row r="54" spans="1:8" ht="12.75" hidden="1" outlineLevel="1">
      <c r="A54" s="30" t="s">
        <v>88</v>
      </c>
      <c r="B54" s="28" t="s">
        <v>82</v>
      </c>
      <c r="C54" s="27">
        <v>0</v>
      </c>
      <c r="D54" s="23"/>
      <c r="E54" s="23"/>
      <c r="F54" s="23"/>
      <c r="G54" s="23"/>
      <c r="H54" s="31">
        <f t="shared" si="3"/>
        <v>0</v>
      </c>
    </row>
    <row r="55" spans="1:8" ht="12.75" hidden="1" outlineLevel="1">
      <c r="A55" s="30" t="s">
        <v>89</v>
      </c>
      <c r="B55" s="28" t="s">
        <v>83</v>
      </c>
      <c r="C55" s="27">
        <v>0</v>
      </c>
      <c r="D55" s="23"/>
      <c r="E55" s="23"/>
      <c r="F55" s="23"/>
      <c r="G55" s="23"/>
      <c r="H55" s="31">
        <f t="shared" si="3"/>
        <v>0</v>
      </c>
    </row>
    <row r="56" spans="1:8" ht="12.75" hidden="1" outlineLevel="1">
      <c r="A56" s="30" t="s">
        <v>90</v>
      </c>
      <c r="B56" s="28" t="s">
        <v>85</v>
      </c>
      <c r="C56" s="27">
        <v>0</v>
      </c>
      <c r="D56" s="23"/>
      <c r="E56" s="23"/>
      <c r="F56" s="23"/>
      <c r="G56" s="23"/>
      <c r="H56" s="31">
        <f t="shared" si="3"/>
        <v>0</v>
      </c>
    </row>
    <row r="57" spans="1:8" ht="12.75" hidden="1" outlineLevel="1">
      <c r="A57" s="30" t="s">
        <v>91</v>
      </c>
      <c r="B57" s="28" t="s">
        <v>84</v>
      </c>
      <c r="C57" s="27">
        <v>0</v>
      </c>
      <c r="D57" s="23"/>
      <c r="E57" s="23"/>
      <c r="F57" s="23"/>
      <c r="G57" s="23"/>
      <c r="H57" s="31">
        <f t="shared" si="3"/>
        <v>0</v>
      </c>
    </row>
    <row r="58" spans="1:8" ht="25.5" collapsed="1">
      <c r="A58" s="7">
        <v>3</v>
      </c>
      <c r="B58" s="8" t="s">
        <v>22</v>
      </c>
      <c r="C58" s="40">
        <f>SUM(C59:C60)</f>
        <v>0</v>
      </c>
      <c r="D58" s="9"/>
      <c r="E58" s="9"/>
      <c r="F58" s="9"/>
      <c r="G58" s="9"/>
      <c r="H58" s="41">
        <f t="shared" si="3"/>
        <v>0</v>
      </c>
    </row>
    <row r="59" spans="1:8" ht="12.75" hidden="1" outlineLevel="1">
      <c r="A59" s="30" t="s">
        <v>32</v>
      </c>
      <c r="B59" s="28" t="s">
        <v>185</v>
      </c>
      <c r="C59" s="27">
        <v>0</v>
      </c>
      <c r="D59" s="23"/>
      <c r="E59" s="23"/>
      <c r="F59" s="23"/>
      <c r="G59" s="23"/>
      <c r="H59" s="31">
        <f t="shared" si="3"/>
        <v>0</v>
      </c>
    </row>
    <row r="60" spans="1:8" ht="12.75" hidden="1" outlineLevel="1">
      <c r="A60" s="30" t="s">
        <v>133</v>
      </c>
      <c r="B60" s="28" t="s">
        <v>187</v>
      </c>
      <c r="C60" s="27">
        <v>0</v>
      </c>
      <c r="D60" s="23"/>
      <c r="E60" s="23"/>
      <c r="F60" s="23"/>
      <c r="G60" s="23"/>
      <c r="H60" s="31">
        <f t="shared" si="3"/>
        <v>0</v>
      </c>
    </row>
    <row r="61" spans="1:8" ht="12.75" collapsed="1">
      <c r="A61" s="7">
        <v>4</v>
      </c>
      <c r="B61" s="8" t="s">
        <v>24</v>
      </c>
      <c r="C61" s="40">
        <f>SUM(C62:C66)</f>
        <v>60</v>
      </c>
      <c r="D61" s="9"/>
      <c r="E61" s="9"/>
      <c r="F61" s="9"/>
      <c r="G61" s="9"/>
      <c r="H61" s="41">
        <f aca="true" t="shared" si="4" ref="H61:H67">ROUND(C61/4/16103*1000,2)</f>
        <v>0.93</v>
      </c>
    </row>
    <row r="62" spans="1:8" ht="25.5" hidden="1" outlineLevel="1">
      <c r="A62" s="30" t="s">
        <v>110</v>
      </c>
      <c r="B62" s="28" t="s">
        <v>51</v>
      </c>
      <c r="C62" s="27">
        <v>20</v>
      </c>
      <c r="D62" s="23"/>
      <c r="E62" s="23"/>
      <c r="F62" s="23"/>
      <c r="G62" s="23"/>
      <c r="H62" s="31">
        <f t="shared" si="4"/>
        <v>0.31</v>
      </c>
    </row>
    <row r="63" spans="1:8" ht="25.5" hidden="1" outlineLevel="1">
      <c r="A63" s="30" t="s">
        <v>111</v>
      </c>
      <c r="B63" s="28" t="s">
        <v>52</v>
      </c>
      <c r="C63" s="27">
        <v>0</v>
      </c>
      <c r="D63" s="23"/>
      <c r="E63" s="23"/>
      <c r="F63" s="23"/>
      <c r="G63" s="23"/>
      <c r="H63" s="31">
        <f t="shared" si="4"/>
        <v>0</v>
      </c>
    </row>
    <row r="64" spans="1:8" ht="25.5" hidden="1" outlineLevel="1">
      <c r="A64" s="30" t="s">
        <v>112</v>
      </c>
      <c r="B64" s="28" t="s">
        <v>58</v>
      </c>
      <c r="C64" s="27">
        <v>20</v>
      </c>
      <c r="D64" s="23"/>
      <c r="E64" s="23"/>
      <c r="F64" s="23"/>
      <c r="G64" s="23"/>
      <c r="H64" s="31">
        <f t="shared" si="4"/>
        <v>0.31</v>
      </c>
    </row>
    <row r="65" spans="1:8" ht="12.75" hidden="1" outlineLevel="1">
      <c r="A65" s="30" t="s">
        <v>113</v>
      </c>
      <c r="B65" s="28" t="s">
        <v>25</v>
      </c>
      <c r="C65" s="27">
        <v>0</v>
      </c>
      <c r="D65" s="23"/>
      <c r="E65" s="23"/>
      <c r="F65" s="23"/>
      <c r="G65" s="23"/>
      <c r="H65" s="31">
        <f t="shared" si="4"/>
        <v>0</v>
      </c>
    </row>
    <row r="66" spans="1:8" ht="12.75" hidden="1" outlineLevel="1">
      <c r="A66" s="30" t="s">
        <v>114</v>
      </c>
      <c r="B66" s="28" t="s">
        <v>94</v>
      </c>
      <c r="C66" s="27">
        <v>20</v>
      </c>
      <c r="D66" s="23"/>
      <c r="E66" s="23"/>
      <c r="F66" s="23"/>
      <c r="G66" s="23"/>
      <c r="H66" s="31">
        <f t="shared" si="4"/>
        <v>0.31</v>
      </c>
    </row>
    <row r="67" spans="1:8" ht="12.75" collapsed="1">
      <c r="A67" s="7">
        <v>5</v>
      </c>
      <c r="B67" s="8" t="s">
        <v>157</v>
      </c>
      <c r="C67" s="40">
        <f>SUM(C68:G83)</f>
        <v>544.2017490641093</v>
      </c>
      <c r="D67" s="9"/>
      <c r="E67" s="9"/>
      <c r="F67" s="9"/>
      <c r="G67" s="9"/>
      <c r="H67" s="41">
        <f t="shared" si="4"/>
        <v>8.45</v>
      </c>
    </row>
    <row r="68" spans="1:8" ht="12.75" hidden="1" outlineLevel="1">
      <c r="A68" s="30" t="s">
        <v>115</v>
      </c>
      <c r="B68" s="28" t="s">
        <v>119</v>
      </c>
      <c r="C68" s="27">
        <f>185/19212*16205</f>
        <v>156.04439933374974</v>
      </c>
      <c r="D68" s="23"/>
      <c r="E68" s="23"/>
      <c r="F68" s="23"/>
      <c r="G68" s="23"/>
      <c r="H68" s="31">
        <f t="shared" si="3"/>
        <v>0.81</v>
      </c>
    </row>
    <row r="69" spans="1:8" ht="12.75" hidden="1" outlineLevel="1">
      <c r="A69" s="30" t="s">
        <v>116</v>
      </c>
      <c r="B69" s="28" t="s">
        <v>120</v>
      </c>
      <c r="C69" s="27"/>
      <c r="D69" s="23"/>
      <c r="E69" s="23"/>
      <c r="F69" s="23"/>
      <c r="G69" s="23"/>
      <c r="H69" s="31">
        <f t="shared" si="3"/>
        <v>0</v>
      </c>
    </row>
    <row r="70" spans="1:8" ht="12.75" hidden="1" outlineLevel="1">
      <c r="A70" s="30" t="s">
        <v>117</v>
      </c>
      <c r="B70" s="28" t="s">
        <v>121</v>
      </c>
      <c r="C70" s="27"/>
      <c r="D70" s="23"/>
      <c r="E70" s="23"/>
      <c r="F70" s="23"/>
      <c r="G70" s="23"/>
      <c r="H70" s="31">
        <f t="shared" si="3"/>
        <v>0</v>
      </c>
    </row>
    <row r="71" spans="1:8" ht="12.75" hidden="1" outlineLevel="1">
      <c r="A71" s="30" t="s">
        <v>118</v>
      </c>
      <c r="B71" s="28" t="s">
        <v>54</v>
      </c>
      <c r="C71" s="27">
        <f>SUM(C68:C70)*0.34</f>
        <v>53.05509577347492</v>
      </c>
      <c r="D71" s="23"/>
      <c r="E71" s="23"/>
      <c r="F71" s="23"/>
      <c r="G71" s="23"/>
      <c r="H71" s="31">
        <f>ROUND(C71/4/16103*1000,2)</f>
        <v>0.82</v>
      </c>
    </row>
    <row r="72" spans="1:8" ht="12.75" hidden="1" outlineLevel="1">
      <c r="A72" s="30" t="s">
        <v>158</v>
      </c>
      <c r="B72" s="28" t="s">
        <v>28</v>
      </c>
      <c r="C72" s="27">
        <f>6.8/19212*16205</f>
        <v>5.735686029564855</v>
      </c>
      <c r="D72" s="23"/>
      <c r="E72" s="23"/>
      <c r="F72" s="23"/>
      <c r="G72" s="23"/>
      <c r="H72" s="31">
        <f t="shared" si="3"/>
        <v>0.03</v>
      </c>
    </row>
    <row r="73" spans="1:8" ht="12.75" hidden="1" outlineLevel="1">
      <c r="A73" s="30" t="s">
        <v>159</v>
      </c>
      <c r="B73" s="28" t="s">
        <v>29</v>
      </c>
      <c r="C73" s="27">
        <v>0</v>
      </c>
      <c r="D73" s="23"/>
      <c r="E73" s="23"/>
      <c r="F73" s="23"/>
      <c r="G73" s="23"/>
      <c r="H73" s="31">
        <f t="shared" si="3"/>
        <v>0</v>
      </c>
    </row>
    <row r="74" spans="1:8" ht="25.5" hidden="1" outlineLevel="1">
      <c r="A74" s="30" t="s">
        <v>160</v>
      </c>
      <c r="B74" s="28" t="s">
        <v>56</v>
      </c>
      <c r="C74" s="27">
        <f>95/19212*16205</f>
        <v>80.13090776597959</v>
      </c>
      <c r="D74" s="23"/>
      <c r="E74" s="23"/>
      <c r="F74" s="23"/>
      <c r="G74" s="23"/>
      <c r="H74" s="31">
        <f>ROUND(C74/4/16103*1000,2)</f>
        <v>1.24</v>
      </c>
    </row>
    <row r="75" spans="1:8" ht="12.75" hidden="1" outlineLevel="1">
      <c r="A75" s="30" t="s">
        <v>161</v>
      </c>
      <c r="B75" s="28" t="s">
        <v>57</v>
      </c>
      <c r="C75" s="27">
        <f>250/19212*16205</f>
        <v>210.87080991047262</v>
      </c>
      <c r="D75" s="23"/>
      <c r="E75" s="23"/>
      <c r="F75" s="23"/>
      <c r="G75" s="23"/>
      <c r="H75" s="31">
        <f>ROUND(C75/4/16103*1000,2)</f>
        <v>3.27</v>
      </c>
    </row>
    <row r="76" spans="1:8" ht="25.5" hidden="1" outlineLevel="1">
      <c r="A76" s="30" t="s">
        <v>162</v>
      </c>
      <c r="B76" s="28" t="s">
        <v>149</v>
      </c>
      <c r="C76" s="27">
        <v>0</v>
      </c>
      <c r="D76" s="23"/>
      <c r="E76" s="23"/>
      <c r="F76" s="23"/>
      <c r="G76" s="23"/>
      <c r="H76" s="31">
        <f t="shared" si="3"/>
        <v>0</v>
      </c>
    </row>
    <row r="77" spans="1:8" ht="12.75" hidden="1" outlineLevel="1">
      <c r="A77" s="30" t="s">
        <v>163</v>
      </c>
      <c r="B77" s="28" t="s">
        <v>30</v>
      </c>
      <c r="C77" s="27">
        <v>0</v>
      </c>
      <c r="D77" s="23"/>
      <c r="E77" s="23"/>
      <c r="F77" s="23"/>
      <c r="G77" s="23"/>
      <c r="H77" s="31">
        <f t="shared" si="3"/>
        <v>0</v>
      </c>
    </row>
    <row r="78" spans="1:8" ht="25.5" hidden="1" outlineLevel="1">
      <c r="A78" s="30" t="s">
        <v>164</v>
      </c>
      <c r="B78" s="28" t="s">
        <v>31</v>
      </c>
      <c r="C78" s="27">
        <f>10/19212*16205</f>
        <v>8.434832396418905</v>
      </c>
      <c r="D78" s="23"/>
      <c r="E78" s="23"/>
      <c r="F78" s="23"/>
      <c r="G78" s="23"/>
      <c r="H78" s="31">
        <f>ROUND(C78/4/16103*1000,2)</f>
        <v>0.13</v>
      </c>
    </row>
    <row r="79" spans="1:8" ht="12.75" hidden="1" outlineLevel="1">
      <c r="A79" s="30" t="s">
        <v>165</v>
      </c>
      <c r="B79" s="28" t="s">
        <v>55</v>
      </c>
      <c r="C79" s="27">
        <f>1/19110*16103</f>
        <v>0.842647828362114</v>
      </c>
      <c r="D79" s="23"/>
      <c r="E79" s="23"/>
      <c r="F79" s="23"/>
      <c r="G79" s="23"/>
      <c r="H79" s="31">
        <f>ROUND(C79/4/16103*1000,2)</f>
        <v>0.01</v>
      </c>
    </row>
    <row r="80" spans="1:8" ht="12.75" hidden="1" outlineLevel="1">
      <c r="A80" s="30" t="s">
        <v>166</v>
      </c>
      <c r="B80" s="28" t="s">
        <v>59</v>
      </c>
      <c r="C80" s="27">
        <f>6/19212*16205</f>
        <v>5.060899437851343</v>
      </c>
      <c r="D80" s="23"/>
      <c r="E80" s="23"/>
      <c r="F80" s="23"/>
      <c r="G80" s="23"/>
      <c r="H80" s="31">
        <f>ROUND(C80/4/16103*1000,2)</f>
        <v>0.08</v>
      </c>
    </row>
    <row r="81" spans="1:8" ht="12.75" hidden="1" outlineLevel="1">
      <c r="A81" s="30" t="s">
        <v>167</v>
      </c>
      <c r="B81" s="28" t="s">
        <v>60</v>
      </c>
      <c r="C81" s="27">
        <v>0</v>
      </c>
      <c r="D81" s="23"/>
      <c r="E81" s="23"/>
      <c r="F81" s="23"/>
      <c r="G81" s="23"/>
      <c r="H81" s="31">
        <f>ROUND(C81/4/16103*1000,2)</f>
        <v>0</v>
      </c>
    </row>
    <row r="82" spans="1:8" ht="12.75" hidden="1" outlineLevel="1">
      <c r="A82" s="30" t="s">
        <v>168</v>
      </c>
      <c r="B82" s="28" t="s">
        <v>95</v>
      </c>
      <c r="C82" s="27">
        <v>0</v>
      </c>
      <c r="D82" s="23"/>
      <c r="E82" s="23"/>
      <c r="F82" s="23"/>
      <c r="G82" s="23"/>
      <c r="H82" s="31">
        <f t="shared" si="3"/>
        <v>0</v>
      </c>
    </row>
    <row r="83" spans="1:8" ht="12.75" hidden="1" outlineLevel="1">
      <c r="A83" s="30" t="s">
        <v>171</v>
      </c>
      <c r="B83" s="28" t="s">
        <v>170</v>
      </c>
      <c r="C83" s="27">
        <f>23.34+23.34/34</f>
        <v>24.026470588235295</v>
      </c>
      <c r="D83" s="23"/>
      <c r="E83" s="23"/>
      <c r="F83" s="23"/>
      <c r="G83" s="23"/>
      <c r="H83" s="31">
        <f t="shared" si="3"/>
        <v>0.12</v>
      </c>
    </row>
    <row r="84" spans="1:8" ht="12.75" collapsed="1">
      <c r="A84" s="7">
        <v>6</v>
      </c>
      <c r="B84" s="8" t="s">
        <v>26</v>
      </c>
      <c r="C84" s="40">
        <f>SUM(C85:C86)</f>
        <v>0</v>
      </c>
      <c r="D84" s="9"/>
      <c r="E84" s="9"/>
      <c r="F84" s="9"/>
      <c r="G84" s="9"/>
      <c r="H84" s="41">
        <f t="shared" si="3"/>
        <v>0</v>
      </c>
    </row>
    <row r="85" spans="1:8" ht="12.75" hidden="1" outlineLevel="1">
      <c r="A85" s="30" t="s">
        <v>124</v>
      </c>
      <c r="B85" s="28" t="s">
        <v>126</v>
      </c>
      <c r="C85" s="27">
        <v>0</v>
      </c>
      <c r="D85" s="23"/>
      <c r="E85" s="23"/>
      <c r="F85" s="23"/>
      <c r="G85" s="23"/>
      <c r="H85" s="31">
        <f>ROUND(C85/12/16103*1000,2)</f>
        <v>0</v>
      </c>
    </row>
    <row r="86" spans="1:8" ht="12.75" hidden="1" outlineLevel="1">
      <c r="A86" s="30" t="s">
        <v>125</v>
      </c>
      <c r="B86" s="28" t="s">
        <v>127</v>
      </c>
      <c r="C86" s="27">
        <v>0</v>
      </c>
      <c r="D86" s="23"/>
      <c r="E86" s="23"/>
      <c r="F86" s="23"/>
      <c r="G86" s="23"/>
      <c r="H86" s="31">
        <f>ROUND(C86/12/16103*1000,2)</f>
        <v>0</v>
      </c>
    </row>
    <row r="87" spans="1:8" ht="12.75" collapsed="1">
      <c r="A87" s="7">
        <v>7</v>
      </c>
      <c r="B87" s="8" t="s">
        <v>76</v>
      </c>
      <c r="C87" s="40">
        <f>SUM(C88:C92)</f>
        <v>13</v>
      </c>
      <c r="D87" s="9"/>
      <c r="E87" s="9"/>
      <c r="F87" s="9"/>
      <c r="G87" s="9"/>
      <c r="H87" s="41">
        <f aca="true" t="shared" si="5" ref="H87:H92">ROUND(C87/4/16103*1000,2)</f>
        <v>0.2</v>
      </c>
    </row>
    <row r="88" spans="1:8" ht="25.5" hidden="1" outlineLevel="1">
      <c r="A88" s="30" t="s">
        <v>98</v>
      </c>
      <c r="B88" s="28" t="s">
        <v>109</v>
      </c>
      <c r="C88" s="27"/>
      <c r="D88" s="23"/>
      <c r="E88" s="23"/>
      <c r="F88" s="23"/>
      <c r="G88" s="23"/>
      <c r="H88" s="31">
        <f t="shared" si="5"/>
        <v>0</v>
      </c>
    </row>
    <row r="89" spans="1:8" ht="25.5" hidden="1" outlineLevel="1">
      <c r="A89" s="30" t="s">
        <v>99</v>
      </c>
      <c r="B89" s="28" t="s">
        <v>75</v>
      </c>
      <c r="C89" s="27">
        <v>0</v>
      </c>
      <c r="D89" s="23"/>
      <c r="E89" s="23"/>
      <c r="F89" s="23"/>
      <c r="G89" s="23"/>
      <c r="H89" s="31">
        <f t="shared" si="5"/>
        <v>0</v>
      </c>
    </row>
    <row r="90" spans="1:8" ht="12.75" hidden="1" outlineLevel="1">
      <c r="A90" s="30" t="s">
        <v>100</v>
      </c>
      <c r="B90" s="28" t="s">
        <v>175</v>
      </c>
      <c r="C90" s="27">
        <v>0</v>
      </c>
      <c r="D90" s="23"/>
      <c r="E90" s="23"/>
      <c r="F90" s="23"/>
      <c r="G90" s="23"/>
      <c r="H90" s="31">
        <f t="shared" si="5"/>
        <v>0</v>
      </c>
    </row>
    <row r="91" spans="1:8" ht="12.75" hidden="1" outlineLevel="1">
      <c r="A91" s="30" t="s">
        <v>101</v>
      </c>
      <c r="B91" s="28" t="s">
        <v>173</v>
      </c>
      <c r="C91" s="27"/>
      <c r="D91" s="23"/>
      <c r="E91" s="23"/>
      <c r="F91" s="23"/>
      <c r="G91" s="23"/>
      <c r="H91" s="31">
        <f t="shared" si="5"/>
        <v>0</v>
      </c>
    </row>
    <row r="92" spans="1:8" ht="25.5" hidden="1" outlineLevel="1">
      <c r="A92" s="30" t="s">
        <v>172</v>
      </c>
      <c r="B92" s="28" t="s">
        <v>174</v>
      </c>
      <c r="C92" s="27">
        <v>13</v>
      </c>
      <c r="D92" s="23"/>
      <c r="E92" s="23"/>
      <c r="F92" s="23"/>
      <c r="G92" s="23"/>
      <c r="H92" s="31">
        <f t="shared" si="5"/>
        <v>0.2</v>
      </c>
    </row>
    <row r="93" spans="1:8" ht="41.25" customHeight="1" collapsed="1">
      <c r="A93" s="7">
        <v>8</v>
      </c>
      <c r="B93" s="8" t="s">
        <v>151</v>
      </c>
      <c r="C93" s="40"/>
      <c r="D93" s="9"/>
      <c r="E93" s="9"/>
      <c r="F93" s="9"/>
      <c r="G93" s="9"/>
      <c r="H93" s="41"/>
    </row>
    <row r="94" ht="12.75"/>
    <row r="95" ht="38.25">
      <c r="B95" s="42" t="s">
        <v>176</v>
      </c>
    </row>
    <row r="101" ht="12.75"/>
    <row r="102" ht="12.75"/>
    <row r="103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42" ht="12.75"/>
    <row r="144" ht="12.75"/>
    <row r="160" ht="12.75"/>
    <row r="161" ht="12.75"/>
    <row r="162" ht="12.75"/>
    <row r="163" ht="12.75"/>
    <row r="164" ht="12.75"/>
    <row r="165" ht="12.75"/>
    <row r="167" ht="12.75"/>
    <row r="168" ht="12.75"/>
    <row r="169" ht="12.75"/>
    <row r="170" ht="12.75"/>
    <row r="171" ht="12.75"/>
    <row r="172" ht="12.75"/>
    <row r="173" ht="12.75"/>
    <row r="175" ht="12.75"/>
    <row r="176" ht="12.75"/>
    <row r="177" ht="12.75"/>
    <row r="178" ht="12.75"/>
    <row r="179" ht="12.75"/>
    <row r="180" ht="12.75"/>
  </sheetData>
  <sheetProtection/>
  <mergeCells count="1">
    <mergeCell ref="A1:H1"/>
  </mergeCells>
  <printOptions/>
  <pageMargins left="0.47" right="0.25" top="0.14" bottom="0.14" header="0.14" footer="0.14"/>
  <pageSetup horizontalDpi="180" verticalDpi="180" orientation="portrait" paperSize="9" r:id="rId3"/>
  <ignoredErrors>
    <ignoredError sqref="A51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64" sqref="I64"/>
    </sheetView>
  </sheetViews>
  <sheetFormatPr defaultColWidth="8.8515625" defaultRowHeight="15" outlineLevelRow="1" outlineLevelCol="1"/>
  <cols>
    <col min="1" max="1" width="7.28125" style="2" customWidth="1"/>
    <col min="2" max="2" width="47.28125" style="3" customWidth="1"/>
    <col min="3" max="3" width="10.8515625" style="4" bestFit="1" customWidth="1"/>
    <col min="4" max="4" width="9.140625" style="4" hidden="1" customWidth="1" outlineLevel="1"/>
    <col min="5" max="5" width="9.57421875" style="4" hidden="1" customWidth="1" outlineLevel="1"/>
    <col min="6" max="7" width="10.28125" style="4" hidden="1" customWidth="1" outlineLevel="1"/>
    <col min="8" max="8" width="10.421875" style="4" bestFit="1" customWidth="1" collapsed="1"/>
    <col min="9" max="16384" width="8.8515625" style="4" customWidth="1"/>
  </cols>
  <sheetData>
    <row r="1" spans="1:8" s="13" customFormat="1" ht="40.5" customHeight="1">
      <c r="A1" s="46" t="s">
        <v>196</v>
      </c>
      <c r="B1" s="46"/>
      <c r="C1" s="46"/>
      <c r="D1" s="46"/>
      <c r="E1" s="46"/>
      <c r="F1" s="46"/>
      <c r="G1" s="46"/>
      <c r="H1" s="46"/>
    </row>
    <row r="2" ht="12.75"/>
    <row r="3" spans="1:8" ht="38.25">
      <c r="A3" s="21" t="s">
        <v>0</v>
      </c>
      <c r="B3" s="20" t="s">
        <v>1</v>
      </c>
      <c r="C3" s="20" t="s">
        <v>197</v>
      </c>
      <c r="D3" s="9" t="s">
        <v>7</v>
      </c>
      <c r="E3" s="9" t="s">
        <v>8</v>
      </c>
      <c r="F3" s="9" t="s">
        <v>9</v>
      </c>
      <c r="G3" s="9" t="s">
        <v>10</v>
      </c>
      <c r="H3" s="20" t="s">
        <v>155</v>
      </c>
    </row>
    <row r="4" spans="1:8" ht="12.75" hidden="1" outlineLevel="1">
      <c r="A4" s="5"/>
      <c r="B4" s="15" t="s">
        <v>2</v>
      </c>
      <c r="C4" s="12">
        <f>SUM(C5:C7)</f>
        <v>107.00095509543846</v>
      </c>
      <c r="D4" s="6"/>
      <c r="E4" s="6"/>
      <c r="F4" s="6"/>
      <c r="G4" s="6"/>
      <c r="H4" s="6"/>
    </row>
    <row r="5" spans="1:8" ht="25.5" hidden="1" outlineLevel="1">
      <c r="A5" s="5">
        <v>1</v>
      </c>
      <c r="B5" s="1" t="s">
        <v>139</v>
      </c>
      <c r="C5" s="12">
        <f>C8</f>
        <v>107.00095509543846</v>
      </c>
      <c r="D5" s="6"/>
      <c r="E5" s="6"/>
      <c r="F5" s="6"/>
      <c r="G5" s="6"/>
      <c r="H5" s="6"/>
    </row>
    <row r="6" spans="1:8" ht="12.75" hidden="1" outlineLevel="1">
      <c r="A6" s="5">
        <v>2</v>
      </c>
      <c r="B6" s="1" t="s">
        <v>140</v>
      </c>
      <c r="C6" s="12">
        <v>0</v>
      </c>
      <c r="D6" s="6"/>
      <c r="E6" s="6"/>
      <c r="F6" s="6"/>
      <c r="G6" s="6"/>
      <c r="H6" s="6"/>
    </row>
    <row r="7" spans="1:8" ht="12.75" hidden="1" outlineLevel="1">
      <c r="A7" s="5">
        <v>3</v>
      </c>
      <c r="B7" s="1" t="s">
        <v>135</v>
      </c>
      <c r="C7" s="12">
        <v>0</v>
      </c>
      <c r="D7" s="6"/>
      <c r="E7" s="6"/>
      <c r="F7" s="6"/>
      <c r="G7" s="6"/>
      <c r="H7" s="6"/>
    </row>
    <row r="8" spans="1:8" ht="12.75" collapsed="1">
      <c r="A8" s="5"/>
      <c r="B8" s="15" t="s">
        <v>6</v>
      </c>
      <c r="C8" s="11">
        <f>C9+C27+C32+C38+C35+C54</f>
        <v>107.00095509543846</v>
      </c>
      <c r="D8" s="11"/>
      <c r="E8" s="11"/>
      <c r="F8" s="11"/>
      <c r="G8" s="11"/>
      <c r="H8" s="16">
        <f>H9+H27+H32+H38+H35+H54</f>
        <v>2.34</v>
      </c>
    </row>
    <row r="9" spans="1:8" ht="25.5">
      <c r="A9" s="7">
        <v>1</v>
      </c>
      <c r="B9" s="8" t="s">
        <v>138</v>
      </c>
      <c r="C9" s="14">
        <f aca="true" t="shared" si="0" ref="C9:H9">C10+C18+C23+C25</f>
        <v>0</v>
      </c>
      <c r="D9" s="14">
        <f t="shared" si="0"/>
        <v>0</v>
      </c>
      <c r="E9" s="14">
        <f t="shared" si="0"/>
        <v>0</v>
      </c>
      <c r="F9" s="14">
        <f t="shared" si="0"/>
        <v>0</v>
      </c>
      <c r="G9" s="14">
        <f t="shared" si="0"/>
        <v>0</v>
      </c>
      <c r="H9" s="18">
        <f t="shared" si="0"/>
        <v>0</v>
      </c>
    </row>
    <row r="10" spans="1:8" ht="38.25">
      <c r="A10" s="10" t="s">
        <v>3</v>
      </c>
      <c r="B10" s="1" t="s">
        <v>169</v>
      </c>
      <c r="C10" s="12">
        <f>SUM(C11:G17)</f>
        <v>0</v>
      </c>
      <c r="D10" s="6"/>
      <c r="E10" s="6"/>
      <c r="F10" s="6"/>
      <c r="G10" s="6"/>
      <c r="H10" s="17">
        <f>ROUND(C10/12/3007*1000,2)</f>
        <v>0</v>
      </c>
    </row>
    <row r="11" spans="1:8" ht="12.75" hidden="1" outlineLevel="1">
      <c r="A11" s="10" t="s">
        <v>38</v>
      </c>
      <c r="B11" s="1" t="s">
        <v>33</v>
      </c>
      <c r="C11" s="12">
        <f>0/19212*3007</f>
        <v>0</v>
      </c>
      <c r="D11" s="6"/>
      <c r="E11" s="6"/>
      <c r="F11" s="6"/>
      <c r="G11" s="6"/>
      <c r="H11" s="17">
        <f>ROUND(C11/12/16103*1000,2)</f>
        <v>0</v>
      </c>
    </row>
    <row r="12" spans="1:8" ht="12.75" hidden="1" outlineLevel="1">
      <c r="A12" s="10" t="s">
        <v>129</v>
      </c>
      <c r="B12" s="1" t="s">
        <v>189</v>
      </c>
      <c r="C12" s="12">
        <f>0/19212*3007</f>
        <v>0</v>
      </c>
      <c r="D12" s="6"/>
      <c r="E12" s="6"/>
      <c r="F12" s="6"/>
      <c r="G12" s="6"/>
      <c r="H12" s="17">
        <f>ROUND(C12/12/16103*1000,2)</f>
        <v>0</v>
      </c>
    </row>
    <row r="13" spans="1:8" ht="12.75" hidden="1" outlineLevel="1">
      <c r="A13" s="10" t="s">
        <v>39</v>
      </c>
      <c r="B13" s="1" t="s">
        <v>188</v>
      </c>
      <c r="C13" s="12">
        <f>0/19212*3007</f>
        <v>0</v>
      </c>
      <c r="D13" s="6"/>
      <c r="E13" s="6"/>
      <c r="F13" s="6"/>
      <c r="G13" s="6"/>
      <c r="H13" s="17">
        <f>ROUND(C13/12/16103*1000,2)</f>
        <v>0</v>
      </c>
    </row>
    <row r="14" spans="1:8" ht="12.75" hidden="1" outlineLevel="1">
      <c r="A14" s="10" t="s">
        <v>129</v>
      </c>
      <c r="B14" s="1" t="s">
        <v>35</v>
      </c>
      <c r="C14" s="12">
        <f>0/19212*3007</f>
        <v>0</v>
      </c>
      <c r="D14" s="6"/>
      <c r="E14" s="6"/>
      <c r="F14" s="6"/>
      <c r="G14" s="6"/>
      <c r="H14" s="17">
        <f aca="true" t="shared" si="1" ref="H14:H37">ROUND(C14/12/3007*1000,2)</f>
        <v>0</v>
      </c>
    </row>
    <row r="15" spans="1:8" ht="12.75" hidden="1" outlineLevel="1">
      <c r="A15" s="10" t="s">
        <v>39</v>
      </c>
      <c r="B15" s="1" t="s">
        <v>37</v>
      </c>
      <c r="C15" s="12">
        <f>0/19212*3007</f>
        <v>0</v>
      </c>
      <c r="D15" s="6"/>
      <c r="E15" s="6"/>
      <c r="F15" s="6"/>
      <c r="G15" s="6"/>
      <c r="H15" s="17">
        <f t="shared" si="1"/>
        <v>0</v>
      </c>
    </row>
    <row r="16" spans="1:8" ht="12.75" hidden="1" outlineLevel="1">
      <c r="A16" s="10" t="s">
        <v>38</v>
      </c>
      <c r="B16" s="1" t="s">
        <v>130</v>
      </c>
      <c r="C16" s="12"/>
      <c r="D16" s="6"/>
      <c r="E16" s="6"/>
      <c r="F16" s="6"/>
      <c r="G16" s="6"/>
      <c r="H16" s="17">
        <f t="shared" si="1"/>
        <v>0</v>
      </c>
    </row>
    <row r="17" spans="1:8" ht="12.75" hidden="1" outlineLevel="1">
      <c r="A17" s="10" t="s">
        <v>40</v>
      </c>
      <c r="B17" s="1" t="s">
        <v>54</v>
      </c>
      <c r="C17" s="12">
        <f>SUM(C11:C16)*0.34</f>
        <v>0</v>
      </c>
      <c r="D17" s="6"/>
      <c r="E17" s="6"/>
      <c r="F17" s="6"/>
      <c r="G17" s="6"/>
      <c r="H17" s="17">
        <f t="shared" si="1"/>
        <v>0</v>
      </c>
    </row>
    <row r="18" spans="1:8" ht="25.5" collapsed="1">
      <c r="A18" s="10" t="s">
        <v>4</v>
      </c>
      <c r="B18" s="1" t="s">
        <v>147</v>
      </c>
      <c r="C18" s="12">
        <f>SUM(C19:C22)</f>
        <v>0</v>
      </c>
      <c r="D18" s="6"/>
      <c r="E18" s="6"/>
      <c r="F18" s="6"/>
      <c r="G18" s="6"/>
      <c r="H18" s="17">
        <f t="shared" si="1"/>
        <v>0</v>
      </c>
    </row>
    <row r="19" spans="1:8" ht="12.75" hidden="1" outlineLevel="1">
      <c r="A19" s="10" t="s">
        <v>44</v>
      </c>
      <c r="B19" s="1" t="s">
        <v>14</v>
      </c>
      <c r="C19" s="12"/>
      <c r="D19" s="6"/>
      <c r="E19" s="6"/>
      <c r="F19" s="6"/>
      <c r="G19" s="6"/>
      <c r="H19" s="17">
        <f t="shared" si="1"/>
        <v>0</v>
      </c>
    </row>
    <row r="20" spans="1:8" ht="25.5" hidden="1" outlineLevel="1" collapsed="1">
      <c r="A20" s="10" t="s">
        <v>45</v>
      </c>
      <c r="B20" s="1" t="s">
        <v>72</v>
      </c>
      <c r="C20" s="12">
        <v>0</v>
      </c>
      <c r="D20" s="6"/>
      <c r="E20" s="6"/>
      <c r="F20" s="6"/>
      <c r="G20" s="6"/>
      <c r="H20" s="17">
        <f t="shared" si="1"/>
        <v>0</v>
      </c>
    </row>
    <row r="21" spans="1:8" ht="12.75" hidden="1" outlineLevel="1">
      <c r="A21" s="10" t="s">
        <v>46</v>
      </c>
      <c r="B21" s="1" t="s">
        <v>134</v>
      </c>
      <c r="C21" s="12">
        <v>0</v>
      </c>
      <c r="D21" s="6"/>
      <c r="E21" s="6"/>
      <c r="F21" s="6"/>
      <c r="G21" s="6"/>
      <c r="H21" s="17">
        <f t="shared" si="1"/>
        <v>0</v>
      </c>
    </row>
    <row r="22" spans="1:8" ht="12.75" hidden="1" outlineLevel="1">
      <c r="A22" s="10" t="s">
        <v>146</v>
      </c>
      <c r="B22" s="1" t="s">
        <v>145</v>
      </c>
      <c r="C22" s="12">
        <v>0</v>
      </c>
      <c r="D22" s="6"/>
      <c r="E22" s="6"/>
      <c r="F22" s="6"/>
      <c r="G22" s="6"/>
      <c r="H22" s="17">
        <f t="shared" si="1"/>
        <v>0</v>
      </c>
    </row>
    <row r="23" spans="1:8" ht="12.75" collapsed="1">
      <c r="A23" s="10" t="s">
        <v>5</v>
      </c>
      <c r="B23" s="1" t="s">
        <v>136</v>
      </c>
      <c r="C23" s="12">
        <f>C24</f>
        <v>0</v>
      </c>
      <c r="D23" s="6"/>
      <c r="E23" s="6"/>
      <c r="F23" s="6"/>
      <c r="G23" s="6"/>
      <c r="H23" s="17">
        <f t="shared" si="1"/>
        <v>0</v>
      </c>
    </row>
    <row r="24" spans="1:8" ht="12.75" hidden="1" outlineLevel="1">
      <c r="A24" s="10" t="s">
        <v>48</v>
      </c>
      <c r="B24" s="1" t="s">
        <v>190</v>
      </c>
      <c r="C24" s="12">
        <f>0/19212*3007</f>
        <v>0</v>
      </c>
      <c r="D24" s="6"/>
      <c r="E24" s="6"/>
      <c r="F24" s="6"/>
      <c r="G24" s="6"/>
      <c r="H24" s="17">
        <f t="shared" si="1"/>
        <v>0</v>
      </c>
    </row>
    <row r="25" spans="1:8" ht="25.5" collapsed="1">
      <c r="A25" s="10" t="s">
        <v>128</v>
      </c>
      <c r="B25" s="1" t="s">
        <v>137</v>
      </c>
      <c r="C25" s="12">
        <f>C26</f>
        <v>0</v>
      </c>
      <c r="D25" s="6"/>
      <c r="E25" s="6"/>
      <c r="F25" s="6"/>
      <c r="G25" s="6"/>
      <c r="H25" s="17">
        <f t="shared" si="1"/>
        <v>0</v>
      </c>
    </row>
    <row r="26" spans="1:8" ht="12.75" hidden="1" outlineLevel="1">
      <c r="A26" s="10" t="s">
        <v>62</v>
      </c>
      <c r="B26" s="1" t="s">
        <v>148</v>
      </c>
      <c r="C26" s="12">
        <v>0</v>
      </c>
      <c r="D26" s="6"/>
      <c r="E26" s="6"/>
      <c r="F26" s="6"/>
      <c r="G26" s="6"/>
      <c r="H26" s="17">
        <f t="shared" si="1"/>
        <v>0</v>
      </c>
    </row>
    <row r="27" spans="1:8" ht="12.75" collapsed="1">
      <c r="A27" s="7" t="s">
        <v>23</v>
      </c>
      <c r="B27" s="8" t="s">
        <v>131</v>
      </c>
      <c r="C27" s="14">
        <v>0</v>
      </c>
      <c r="D27" s="6"/>
      <c r="E27" s="6"/>
      <c r="F27" s="6"/>
      <c r="G27" s="6"/>
      <c r="H27" s="18">
        <f t="shared" si="1"/>
        <v>0</v>
      </c>
    </row>
    <row r="28" spans="1:8" ht="12.75" hidden="1" outlineLevel="1">
      <c r="A28" s="10" t="s">
        <v>86</v>
      </c>
      <c r="B28" s="1" t="s">
        <v>141</v>
      </c>
      <c r="C28" s="12">
        <v>0</v>
      </c>
      <c r="D28" s="6"/>
      <c r="E28" s="6"/>
      <c r="F28" s="6"/>
      <c r="G28" s="6"/>
      <c r="H28" s="17">
        <f t="shared" si="1"/>
        <v>0</v>
      </c>
    </row>
    <row r="29" spans="1:8" ht="12.75" hidden="1" outlineLevel="1">
      <c r="A29" s="10" t="s">
        <v>87</v>
      </c>
      <c r="B29" s="1" t="s">
        <v>142</v>
      </c>
      <c r="C29" s="12">
        <v>0</v>
      </c>
      <c r="D29" s="6"/>
      <c r="E29" s="6"/>
      <c r="F29" s="6"/>
      <c r="G29" s="6"/>
      <c r="H29" s="17">
        <f t="shared" si="1"/>
        <v>0</v>
      </c>
    </row>
    <row r="30" spans="1:8" ht="12.75" hidden="1" outlineLevel="1">
      <c r="A30" s="10" t="s">
        <v>88</v>
      </c>
      <c r="B30" s="1" t="s">
        <v>144</v>
      </c>
      <c r="C30" s="12">
        <v>0</v>
      </c>
      <c r="D30" s="6"/>
      <c r="E30" s="6"/>
      <c r="F30" s="6"/>
      <c r="G30" s="6"/>
      <c r="H30" s="17">
        <f t="shared" si="1"/>
        <v>0</v>
      </c>
    </row>
    <row r="31" spans="1:8" ht="12.75" hidden="1" outlineLevel="1">
      <c r="A31" s="10" t="s">
        <v>89</v>
      </c>
      <c r="B31" s="1" t="s">
        <v>143</v>
      </c>
      <c r="C31" s="12">
        <v>0</v>
      </c>
      <c r="D31" s="6"/>
      <c r="E31" s="6"/>
      <c r="F31" s="6"/>
      <c r="G31" s="6"/>
      <c r="H31" s="17">
        <f t="shared" si="1"/>
        <v>0</v>
      </c>
    </row>
    <row r="32" spans="1:8" ht="12.75" collapsed="1">
      <c r="A32" s="7">
        <v>3</v>
      </c>
      <c r="B32" s="8" t="s">
        <v>24</v>
      </c>
      <c r="C32" s="14">
        <f>SUM(C33:C34)</f>
        <v>10</v>
      </c>
      <c r="D32" s="6"/>
      <c r="E32" s="6"/>
      <c r="F32" s="6"/>
      <c r="G32" s="6"/>
      <c r="H32" s="18">
        <f>ROUND(C32/4/3007*1000,2)</f>
        <v>0.83</v>
      </c>
    </row>
    <row r="33" spans="1:8" ht="25.5" hidden="1" outlineLevel="1">
      <c r="A33" s="10" t="s">
        <v>32</v>
      </c>
      <c r="B33" s="1" t="s">
        <v>132</v>
      </c>
      <c r="C33" s="12">
        <v>10</v>
      </c>
      <c r="D33" s="6"/>
      <c r="E33" s="6"/>
      <c r="F33" s="6"/>
      <c r="G33" s="6"/>
      <c r="H33" s="17">
        <f>ROUND(C33/4/3007*1000,2)</f>
        <v>0.83</v>
      </c>
    </row>
    <row r="34" spans="1:8" ht="12.75" hidden="1" outlineLevel="1">
      <c r="A34" s="10" t="s">
        <v>133</v>
      </c>
      <c r="B34" s="1" t="s">
        <v>94</v>
      </c>
      <c r="C34" s="12">
        <v>0</v>
      </c>
      <c r="D34" s="6"/>
      <c r="E34" s="6"/>
      <c r="F34" s="6"/>
      <c r="G34" s="6"/>
      <c r="H34" s="17">
        <f t="shared" si="1"/>
        <v>0</v>
      </c>
    </row>
    <row r="35" spans="1:8" ht="12.75" collapsed="1">
      <c r="A35" s="7">
        <v>4</v>
      </c>
      <c r="B35" s="8" t="s">
        <v>76</v>
      </c>
      <c r="C35" s="14">
        <f>SUM(C36:C37)</f>
        <v>0</v>
      </c>
      <c r="D35" s="6"/>
      <c r="E35" s="6"/>
      <c r="F35" s="6"/>
      <c r="G35" s="6"/>
      <c r="H35" s="18">
        <f t="shared" si="1"/>
        <v>0</v>
      </c>
    </row>
    <row r="36" spans="1:8" ht="12.75" hidden="1" outlineLevel="1">
      <c r="A36" s="10" t="s">
        <v>110</v>
      </c>
      <c r="B36" s="1" t="s">
        <v>173</v>
      </c>
      <c r="C36" s="12">
        <v>0</v>
      </c>
      <c r="D36" s="6"/>
      <c r="E36" s="6"/>
      <c r="F36" s="6"/>
      <c r="G36" s="6"/>
      <c r="H36" s="17">
        <f t="shared" si="1"/>
        <v>0</v>
      </c>
    </row>
    <row r="37" spans="1:8" ht="12.75" hidden="1" outlineLevel="1">
      <c r="A37" s="10" t="s">
        <v>111</v>
      </c>
      <c r="B37" s="1" t="s">
        <v>175</v>
      </c>
      <c r="C37" s="12">
        <v>0</v>
      </c>
      <c r="D37" s="6"/>
      <c r="E37" s="6"/>
      <c r="F37" s="6"/>
      <c r="G37" s="6"/>
      <c r="H37" s="17">
        <f t="shared" si="1"/>
        <v>0</v>
      </c>
    </row>
    <row r="38" spans="1:8" ht="12.75" collapsed="1">
      <c r="A38" s="7">
        <v>5</v>
      </c>
      <c r="B38" s="8" t="s">
        <v>157</v>
      </c>
      <c r="C38" s="14">
        <f>SUM(C39:C53)</f>
        <v>97.00095509543846</v>
      </c>
      <c r="D38" s="6"/>
      <c r="E38" s="6"/>
      <c r="F38" s="6"/>
      <c r="G38" s="6"/>
      <c r="H38" s="18">
        <f>ROUND(C38/4/16103*1000,2)</f>
        <v>1.51</v>
      </c>
    </row>
    <row r="39" spans="1:8" ht="12.75" hidden="1" outlineLevel="1">
      <c r="A39" s="10" t="s">
        <v>115</v>
      </c>
      <c r="B39" s="1" t="s">
        <v>119</v>
      </c>
      <c r="C39" s="12">
        <f>185/19212*3007</f>
        <v>28.95560066625026</v>
      </c>
      <c r="D39" s="6"/>
      <c r="E39" s="6"/>
      <c r="F39" s="6"/>
      <c r="G39" s="6"/>
      <c r="H39" s="17">
        <f>ROUND(C39/4/16103*1000,2)</f>
        <v>0.45</v>
      </c>
    </row>
    <row r="40" spans="1:8" ht="12.75" hidden="1" outlineLevel="1">
      <c r="A40" s="10" t="s">
        <v>116</v>
      </c>
      <c r="B40" s="1" t="s">
        <v>120</v>
      </c>
      <c r="C40" s="12">
        <v>0</v>
      </c>
      <c r="D40" s="6"/>
      <c r="E40" s="6"/>
      <c r="F40" s="6"/>
      <c r="G40" s="6"/>
      <c r="H40" s="17">
        <f aca="true" t="shared" si="2" ref="H40:H53">ROUND(C40/12/16103*1000,2)</f>
        <v>0</v>
      </c>
    </row>
    <row r="41" spans="1:8" ht="12.75" hidden="1" outlineLevel="1">
      <c r="A41" s="10" t="s">
        <v>117</v>
      </c>
      <c r="B41" s="1" t="s">
        <v>121</v>
      </c>
      <c r="C41" s="12">
        <v>0</v>
      </c>
      <c r="D41" s="6"/>
      <c r="E41" s="6"/>
      <c r="F41" s="6"/>
      <c r="G41" s="6"/>
      <c r="H41" s="17">
        <f t="shared" si="2"/>
        <v>0</v>
      </c>
    </row>
    <row r="42" spans="1:8" ht="12.75" hidden="1" outlineLevel="1">
      <c r="A42" s="10" t="s">
        <v>118</v>
      </c>
      <c r="B42" s="1" t="s">
        <v>54</v>
      </c>
      <c r="C42" s="12">
        <f>SUM(C39:C41)*0.34</f>
        <v>9.844904226525088</v>
      </c>
      <c r="D42" s="6"/>
      <c r="E42" s="6"/>
      <c r="F42" s="6"/>
      <c r="G42" s="6"/>
      <c r="H42" s="17">
        <f t="shared" si="2"/>
        <v>0.05</v>
      </c>
    </row>
    <row r="43" spans="1:8" ht="12.75" hidden="1" outlineLevel="1">
      <c r="A43" s="10" t="s">
        <v>158</v>
      </c>
      <c r="B43" s="1" t="s">
        <v>28</v>
      </c>
      <c r="C43" s="12">
        <f>6.8/19212*3007</f>
        <v>1.0643139704351445</v>
      </c>
      <c r="D43" s="6"/>
      <c r="E43" s="6"/>
      <c r="F43" s="6"/>
      <c r="G43" s="6"/>
      <c r="H43" s="17">
        <f t="shared" si="2"/>
        <v>0.01</v>
      </c>
    </row>
    <row r="44" spans="1:8" ht="12.75" hidden="1" outlineLevel="1">
      <c r="A44" s="10" t="s">
        <v>159</v>
      </c>
      <c r="B44" s="1" t="s">
        <v>29</v>
      </c>
      <c r="C44" s="12">
        <v>0</v>
      </c>
      <c r="D44" s="6"/>
      <c r="E44" s="6"/>
      <c r="F44" s="6"/>
      <c r="G44" s="6"/>
      <c r="H44" s="17">
        <f t="shared" si="2"/>
        <v>0</v>
      </c>
    </row>
    <row r="45" spans="1:8" ht="25.5" hidden="1" outlineLevel="1">
      <c r="A45" s="10" t="s">
        <v>160</v>
      </c>
      <c r="B45" s="1" t="s">
        <v>56</v>
      </c>
      <c r="C45" s="12">
        <f>96/19212*3007</f>
        <v>15.025608994378512</v>
      </c>
      <c r="D45" s="6"/>
      <c r="E45" s="6"/>
      <c r="F45" s="6"/>
      <c r="G45" s="6"/>
      <c r="H45" s="17">
        <f>ROUND(C45/4/16103*1000,2)</f>
        <v>0.23</v>
      </c>
    </row>
    <row r="46" spans="1:8" ht="12.75" hidden="1" outlineLevel="1">
      <c r="A46" s="10" t="s">
        <v>161</v>
      </c>
      <c r="B46" s="1" t="s">
        <v>57</v>
      </c>
      <c r="C46" s="12">
        <f>250/19212*3007</f>
        <v>39.12919008952738</v>
      </c>
      <c r="D46" s="6"/>
      <c r="E46" s="6"/>
      <c r="F46" s="6"/>
      <c r="G46" s="6"/>
      <c r="H46" s="17">
        <f>ROUND(C46/4/16103*1000,2)</f>
        <v>0.61</v>
      </c>
    </row>
    <row r="47" spans="1:8" ht="25.5" hidden="1" outlineLevel="1">
      <c r="A47" s="10" t="s">
        <v>162</v>
      </c>
      <c r="B47" s="1" t="s">
        <v>149</v>
      </c>
      <c r="C47" s="12">
        <v>0</v>
      </c>
      <c r="D47" s="6"/>
      <c r="E47" s="6"/>
      <c r="F47" s="6"/>
      <c r="G47" s="6"/>
      <c r="H47" s="17">
        <f t="shared" si="2"/>
        <v>0</v>
      </c>
    </row>
    <row r="48" spans="1:8" ht="12.75" hidden="1" outlineLevel="1">
      <c r="A48" s="10" t="s">
        <v>163</v>
      </c>
      <c r="B48" s="1" t="s">
        <v>30</v>
      </c>
      <c r="C48" s="12">
        <v>0</v>
      </c>
      <c r="D48" s="6"/>
      <c r="E48" s="6"/>
      <c r="F48" s="6"/>
      <c r="G48" s="6"/>
      <c r="H48" s="17">
        <f t="shared" si="2"/>
        <v>0</v>
      </c>
    </row>
    <row r="49" spans="1:8" ht="25.5" hidden="1" outlineLevel="1">
      <c r="A49" s="10" t="s">
        <v>164</v>
      </c>
      <c r="B49" s="1" t="s">
        <v>31</v>
      </c>
      <c r="C49" s="27">
        <f>10/19212*3007</f>
        <v>1.5651676035810953</v>
      </c>
      <c r="D49" s="6"/>
      <c r="E49" s="6"/>
      <c r="F49" s="6"/>
      <c r="G49" s="6"/>
      <c r="H49" s="17">
        <f>ROUND(C49/4/16103*1000,2)</f>
        <v>0.02</v>
      </c>
    </row>
    <row r="50" spans="1:8" ht="12.75" hidden="1" outlineLevel="1">
      <c r="A50" s="10" t="s">
        <v>165</v>
      </c>
      <c r="B50" s="1" t="s">
        <v>55</v>
      </c>
      <c r="C50" s="12">
        <f>1/19110*3007</f>
        <v>0.15735217163788592</v>
      </c>
      <c r="D50" s="6"/>
      <c r="E50" s="6"/>
      <c r="F50" s="6"/>
      <c r="G50" s="6"/>
      <c r="H50" s="17">
        <f>ROUND(C50/4/16103*1000,2)</f>
        <v>0</v>
      </c>
    </row>
    <row r="51" spans="1:8" ht="12.75" hidden="1" outlineLevel="1">
      <c r="A51" s="10" t="s">
        <v>166</v>
      </c>
      <c r="B51" s="1" t="s">
        <v>59</v>
      </c>
      <c r="C51" s="12">
        <f>8/19110*3007</f>
        <v>1.2588173731030874</v>
      </c>
      <c r="D51" s="6"/>
      <c r="E51" s="6"/>
      <c r="F51" s="6"/>
      <c r="G51" s="6"/>
      <c r="H51" s="17">
        <f t="shared" si="2"/>
        <v>0.01</v>
      </c>
    </row>
    <row r="52" spans="1:8" ht="12.75" hidden="1" outlineLevel="1">
      <c r="A52" s="10" t="s">
        <v>167</v>
      </c>
      <c r="B52" s="1" t="s">
        <v>60</v>
      </c>
      <c r="C52" s="12">
        <v>0</v>
      </c>
      <c r="D52" s="6"/>
      <c r="E52" s="6"/>
      <c r="F52" s="6"/>
      <c r="G52" s="6"/>
      <c r="H52" s="17">
        <f t="shared" si="2"/>
        <v>0</v>
      </c>
    </row>
    <row r="53" spans="1:8" ht="12.75" hidden="1" outlineLevel="1">
      <c r="A53" s="10" t="s">
        <v>168</v>
      </c>
      <c r="B53" s="1" t="s">
        <v>95</v>
      </c>
      <c r="C53" s="12">
        <v>0</v>
      </c>
      <c r="D53" s="6"/>
      <c r="E53" s="6"/>
      <c r="F53" s="6"/>
      <c r="G53" s="6"/>
      <c r="H53" s="17">
        <f t="shared" si="2"/>
        <v>0</v>
      </c>
    </row>
    <row r="54" spans="1:8" ht="12.75" collapsed="1">
      <c r="A54" s="7">
        <v>6</v>
      </c>
      <c r="B54" s="8" t="s">
        <v>27</v>
      </c>
      <c r="C54" s="14">
        <f>SUM(C55:C57)</f>
        <v>0</v>
      </c>
      <c r="D54" s="6"/>
      <c r="E54" s="6"/>
      <c r="F54" s="6"/>
      <c r="G54" s="6"/>
      <c r="H54" s="18">
        <f>ROUND(C54/12/3007*1000,2)</f>
        <v>0</v>
      </c>
    </row>
    <row r="55" spans="1:8" ht="12.75" hidden="1" outlineLevel="1">
      <c r="A55" s="10" t="s">
        <v>124</v>
      </c>
      <c r="B55" s="1" t="s">
        <v>30</v>
      </c>
      <c r="C55" s="12">
        <v>0</v>
      </c>
      <c r="D55" s="6"/>
      <c r="E55" s="6"/>
      <c r="F55" s="6"/>
      <c r="G55" s="6"/>
      <c r="H55" s="19">
        <f>ROUND(C55/12/3007*1000,2)</f>
        <v>0</v>
      </c>
    </row>
    <row r="56" spans="1:8" ht="25.5" hidden="1" outlineLevel="1">
      <c r="A56" s="10" t="s">
        <v>125</v>
      </c>
      <c r="B56" s="1" t="s">
        <v>149</v>
      </c>
      <c r="C56" s="12">
        <v>0</v>
      </c>
      <c r="D56" s="6"/>
      <c r="E56" s="6"/>
      <c r="F56" s="6"/>
      <c r="G56" s="6"/>
      <c r="H56" s="19">
        <f>ROUND(C56/12/3007*1000,2)</f>
        <v>0</v>
      </c>
    </row>
    <row r="57" spans="1:8" ht="12.75" hidden="1" outlineLevel="1">
      <c r="A57" s="10" t="s">
        <v>150</v>
      </c>
      <c r="B57" s="1" t="s">
        <v>95</v>
      </c>
      <c r="C57" s="12"/>
      <c r="D57" s="6"/>
      <c r="E57" s="6"/>
      <c r="F57" s="6"/>
      <c r="G57" s="6"/>
      <c r="H57" s="19">
        <f>ROUND(C57/12/3007*1000,2)</f>
        <v>0</v>
      </c>
    </row>
    <row r="58" ht="12.75" collapsed="1"/>
    <row r="59" spans="1:8" ht="49.5" customHeight="1" collapsed="1">
      <c r="A59" s="5"/>
      <c r="B59" s="43" t="s">
        <v>152</v>
      </c>
      <c r="C59" s="47" t="s">
        <v>154</v>
      </c>
      <c r="D59" s="47"/>
      <c r="E59" s="47"/>
      <c r="F59" s="47"/>
      <c r="G59" s="47"/>
      <c r="H59" s="47"/>
    </row>
    <row r="60" spans="1:8" ht="51" customHeight="1">
      <c r="A60" s="5"/>
      <c r="B60" s="43" t="s">
        <v>153</v>
      </c>
      <c r="C60" s="47" t="s">
        <v>154</v>
      </c>
      <c r="D60" s="47"/>
      <c r="E60" s="47"/>
      <c r="F60" s="47"/>
      <c r="G60" s="47"/>
      <c r="H60" s="47"/>
    </row>
    <row r="61" ht="38.25">
      <c r="B61" s="42" t="s">
        <v>177</v>
      </c>
    </row>
    <row r="77" ht="12.75"/>
    <row r="78" ht="12.75"/>
    <row r="79" ht="12.75"/>
  </sheetData>
  <sheetProtection/>
  <mergeCells count="3">
    <mergeCell ref="A1:H1"/>
    <mergeCell ref="C59:H59"/>
    <mergeCell ref="C60:H60"/>
  </mergeCells>
  <printOptions/>
  <pageMargins left="0.47" right="0.25" top="0.14" bottom="0.14" header="0.3" footer="0.3"/>
  <pageSetup horizontalDpi="180" verticalDpi="180" orientation="portrait" paperSize="9" r:id="rId3"/>
  <ignoredErrors>
    <ignoredError sqref="A27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55.7109375" style="0" bestFit="1" customWidth="1"/>
    <col min="2" max="2" width="27.7109375" style="0" bestFit="1" customWidth="1"/>
  </cols>
  <sheetData>
    <row r="1" ht="15">
      <c r="B1" s="44" t="s">
        <v>191</v>
      </c>
    </row>
    <row r="2" spans="1:2" ht="57.75" customHeight="1">
      <c r="A2" s="44" t="s">
        <v>192</v>
      </c>
      <c r="B2" s="45">
        <f>'смета квартиры'!H11</f>
        <v>9.889999999999999</v>
      </c>
    </row>
    <row r="3" spans="1:2" ht="15">
      <c r="A3" s="44" t="s">
        <v>193</v>
      </c>
      <c r="B3" s="45">
        <f>'смета паркоместа'!H8</f>
        <v>2.34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2011-11-11T06:55:21Z</dcterms:modified>
  <cp:category/>
  <cp:version/>
  <cp:contentType/>
  <cp:contentStatus/>
</cp:coreProperties>
</file>